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80" windowHeight="1305" activeTab="3"/>
  </bookViews>
  <sheets>
    <sheet name="Акт КС-2 по ТСН-2001" sheetId="6" r:id="rId1"/>
    <sheet name="Смета по ТСН-2001" sheetId="5" r:id="rId2"/>
    <sheet name="Source" sheetId="1" r:id="rId3"/>
    <sheet name="SmtRes" sheetId="2" r:id="rId4"/>
    <sheet name="EtalonRes" sheetId="3" r:id="rId5"/>
    <sheet name="ClcRes" sheetId="4" r:id="rId6"/>
  </sheets>
  <externalReferences>
    <externalReference r:id="rId7"/>
  </externalReferences>
  <definedNames>
    <definedName name="_xlnm.Print_Titles" localSheetId="0">'Акт КС-2 по ТСН-2001'!$32:$32</definedName>
    <definedName name="_xlnm.Print_Titles" localSheetId="1">'Смета по ТСН-2001'!$27:$27</definedName>
    <definedName name="_xlnm.Print_Area" localSheetId="0">'Акт КС-2 по ТСН-2001'!$A$1:$L$85</definedName>
    <definedName name="_xlnm.Print_Area" localSheetId="1">'Смета по ТСН-2001'!$A$1:$K$80</definedName>
  </definedNames>
  <calcPr calcId="125725"/>
</workbook>
</file>

<file path=xl/calcChain.xml><?xml version="1.0" encoding="utf-8"?>
<calcChain xmlns="http://schemas.openxmlformats.org/spreadsheetml/2006/main">
  <c r="C32" i="5"/>
  <c r="P47"/>
  <c r="Q47"/>
  <c r="R47"/>
  <c r="V47"/>
  <c r="W47"/>
  <c r="X47"/>
  <c r="A48"/>
  <c r="B48"/>
  <c r="C48"/>
  <c r="D48"/>
  <c r="E48"/>
  <c r="F49"/>
  <c r="G49"/>
  <c r="H49"/>
  <c r="I49"/>
  <c r="E50"/>
  <c r="E51"/>
  <c r="E52"/>
  <c r="G52"/>
  <c r="H52"/>
  <c r="K53"/>
  <c r="P53"/>
  <c r="Q53"/>
  <c r="R53"/>
  <c r="V53"/>
  <c r="W53"/>
  <c r="X53"/>
  <c r="E28"/>
  <c r="AA14"/>
  <c r="AA13"/>
  <c r="B64" i="6"/>
  <c r="B63"/>
  <c r="B62"/>
  <c r="B59"/>
  <c r="B53"/>
  <c r="B47"/>
  <c r="B43"/>
  <c r="B37"/>
  <c r="B33"/>
  <c r="I83"/>
  <c r="D83"/>
  <c r="I80"/>
  <c r="D80"/>
  <c r="Y68"/>
  <c r="X68"/>
  <c r="W68"/>
  <c r="S68"/>
  <c r="R68"/>
  <c r="Q68"/>
  <c r="I67"/>
  <c r="H67"/>
  <c r="F67"/>
  <c r="F66"/>
  <c r="F65"/>
  <c r="Y64"/>
  <c r="X64"/>
  <c r="W64"/>
  <c r="S64"/>
  <c r="R64"/>
  <c r="Q64"/>
  <c r="P64"/>
  <c r="J64"/>
  <c r="I64"/>
  <c r="H64"/>
  <c r="G64"/>
  <c r="E64"/>
  <c r="D64"/>
  <c r="C64"/>
  <c r="Y63"/>
  <c r="X63"/>
  <c r="W63"/>
  <c r="S63"/>
  <c r="R63"/>
  <c r="Q63"/>
  <c r="P63"/>
  <c r="J63"/>
  <c r="I63"/>
  <c r="H63"/>
  <c r="G63"/>
  <c r="E63"/>
  <c r="D63"/>
  <c r="C63"/>
  <c r="Y62"/>
  <c r="X62"/>
  <c r="W62"/>
  <c r="S62"/>
  <c r="R62"/>
  <c r="Q62"/>
  <c r="P62"/>
  <c r="J62"/>
  <c r="I62"/>
  <c r="H62"/>
  <c r="G62"/>
  <c r="E62"/>
  <c r="D62"/>
  <c r="C62"/>
  <c r="J61"/>
  <c r="I61"/>
  <c r="H61"/>
  <c r="G61"/>
  <c r="J60"/>
  <c r="I60"/>
  <c r="H60"/>
  <c r="G60"/>
  <c r="E59"/>
  <c r="D59"/>
  <c r="C59"/>
  <c r="Y58"/>
  <c r="X58"/>
  <c r="W58"/>
  <c r="S58"/>
  <c r="R58"/>
  <c r="Q58"/>
  <c r="I57"/>
  <c r="H57"/>
  <c r="F57"/>
  <c r="F56"/>
  <c r="F55"/>
  <c r="J54"/>
  <c r="I54"/>
  <c r="H54"/>
  <c r="G54"/>
  <c r="E53"/>
  <c r="D53"/>
  <c r="C53"/>
  <c r="Y52"/>
  <c r="X52"/>
  <c r="W52"/>
  <c r="S52"/>
  <c r="R52"/>
  <c r="Q52"/>
  <c r="I51"/>
  <c r="H51"/>
  <c r="F51"/>
  <c r="F49"/>
  <c r="F48"/>
  <c r="Y47"/>
  <c r="X47"/>
  <c r="W47"/>
  <c r="S47"/>
  <c r="R47"/>
  <c r="Q47"/>
  <c r="P47"/>
  <c r="J47"/>
  <c r="I47"/>
  <c r="H47"/>
  <c r="G47"/>
  <c r="E47"/>
  <c r="D47"/>
  <c r="C47"/>
  <c r="J46"/>
  <c r="I46"/>
  <c r="H46"/>
  <c r="G46"/>
  <c r="J45"/>
  <c r="I45"/>
  <c r="H45"/>
  <c r="G45"/>
  <c r="J44"/>
  <c r="I44"/>
  <c r="H44"/>
  <c r="G44"/>
  <c r="E43"/>
  <c r="D43"/>
  <c r="C43"/>
  <c r="Y42"/>
  <c r="X42"/>
  <c r="W42"/>
  <c r="S42"/>
  <c r="R42"/>
  <c r="Q42"/>
  <c r="I41"/>
  <c r="H41"/>
  <c r="F41"/>
  <c r="F39"/>
  <c r="F38"/>
  <c r="Y37"/>
  <c r="X37"/>
  <c r="W37"/>
  <c r="S37"/>
  <c r="R37"/>
  <c r="Q37"/>
  <c r="P37"/>
  <c r="J37"/>
  <c r="I37"/>
  <c r="H37"/>
  <c r="G37"/>
  <c r="E37"/>
  <c r="D37"/>
  <c r="C37"/>
  <c r="J36"/>
  <c r="I36"/>
  <c r="H36"/>
  <c r="G36"/>
  <c r="J35"/>
  <c r="I35"/>
  <c r="H35"/>
  <c r="G35"/>
  <c r="J34"/>
  <c r="I34"/>
  <c r="H34"/>
  <c r="G34"/>
  <c r="F33"/>
  <c r="E33"/>
  <c r="D33"/>
  <c r="C33"/>
  <c r="F25"/>
  <c r="E25"/>
  <c r="AB11"/>
  <c r="AB10"/>
  <c r="D10"/>
  <c r="AB9"/>
  <c r="D9"/>
  <c r="AB8"/>
  <c r="D8"/>
  <c r="A1"/>
  <c r="H78" i="5"/>
  <c r="C78"/>
  <c r="H75"/>
  <c r="C75"/>
  <c r="C70"/>
  <c r="C69"/>
  <c r="C68"/>
  <c r="X63"/>
  <c r="W63"/>
  <c r="V63"/>
  <c r="R63"/>
  <c r="Q63"/>
  <c r="P63"/>
  <c r="H62"/>
  <c r="G62"/>
  <c r="E62"/>
  <c r="E61"/>
  <c r="E60"/>
  <c r="X59"/>
  <c r="W59"/>
  <c r="V59"/>
  <c r="R59"/>
  <c r="Q59"/>
  <c r="P59"/>
  <c r="O59"/>
  <c r="I59"/>
  <c r="H59"/>
  <c r="G59"/>
  <c r="F59"/>
  <c r="D59"/>
  <c r="C59"/>
  <c r="B59"/>
  <c r="A59"/>
  <c r="X58"/>
  <c r="W58"/>
  <c r="V58"/>
  <c r="R58"/>
  <c r="Q58"/>
  <c r="P58"/>
  <c r="O58"/>
  <c r="I58"/>
  <c r="H58"/>
  <c r="G58"/>
  <c r="F58"/>
  <c r="D58"/>
  <c r="C58"/>
  <c r="B58"/>
  <c r="A58"/>
  <c r="X57"/>
  <c r="W57"/>
  <c r="V57"/>
  <c r="R57"/>
  <c r="Q57"/>
  <c r="P57"/>
  <c r="O57"/>
  <c r="I57"/>
  <c r="H57"/>
  <c r="G57"/>
  <c r="F57"/>
  <c r="D57"/>
  <c r="C57"/>
  <c r="B57"/>
  <c r="A57"/>
  <c r="I56"/>
  <c r="H56"/>
  <c r="G56"/>
  <c r="F56"/>
  <c r="I55"/>
  <c r="H55"/>
  <c r="G55"/>
  <c r="F55"/>
  <c r="D54"/>
  <c r="C54"/>
  <c r="B54"/>
  <c r="A54"/>
  <c r="H46"/>
  <c r="G46"/>
  <c r="E46"/>
  <c r="E44"/>
  <c r="E43"/>
  <c r="X42"/>
  <c r="W42"/>
  <c r="V42"/>
  <c r="R42"/>
  <c r="Q42"/>
  <c r="P42"/>
  <c r="O42"/>
  <c r="I42"/>
  <c r="H42"/>
  <c r="G42"/>
  <c r="F42"/>
  <c r="D42"/>
  <c r="C42"/>
  <c r="B42"/>
  <c r="A42"/>
  <c r="I41"/>
  <c r="H41"/>
  <c r="G41"/>
  <c r="F41"/>
  <c r="I40"/>
  <c r="H40"/>
  <c r="G40"/>
  <c r="F40"/>
  <c r="I39"/>
  <c r="H39"/>
  <c r="G39"/>
  <c r="F39"/>
  <c r="D38"/>
  <c r="C38"/>
  <c r="B38"/>
  <c r="A38"/>
  <c r="X37"/>
  <c r="W37"/>
  <c r="V37"/>
  <c r="R37"/>
  <c r="Q37"/>
  <c r="P37"/>
  <c r="H36"/>
  <c r="G36"/>
  <c r="E36"/>
  <c r="E34"/>
  <c r="E33"/>
  <c r="X32"/>
  <c r="W32"/>
  <c r="V32"/>
  <c r="R32"/>
  <c r="Q32"/>
  <c r="P32"/>
  <c r="O32"/>
  <c r="I32"/>
  <c r="H32"/>
  <c r="G32"/>
  <c r="F32"/>
  <c r="D32"/>
  <c r="B32"/>
  <c r="A32"/>
  <c r="I31"/>
  <c r="H31"/>
  <c r="G31"/>
  <c r="F31"/>
  <c r="I30"/>
  <c r="H30"/>
  <c r="G30"/>
  <c r="F30"/>
  <c r="I29"/>
  <c r="H29"/>
  <c r="G29"/>
  <c r="F29"/>
  <c r="D28"/>
  <c r="C28"/>
  <c r="B28"/>
  <c r="A28"/>
  <c r="E21"/>
  <c r="AA17"/>
  <c r="A17"/>
  <c r="A1"/>
  <c r="AJ42" i="1"/>
  <c r="CX42" s="1"/>
  <c r="W42" s="1"/>
  <c r="AI42"/>
  <c r="CW42"/>
  <c r="V42" s="1"/>
  <c r="AH42"/>
  <c r="CV42" s="1"/>
  <c r="U42" s="1"/>
  <c r="AG42"/>
  <c r="CU42"/>
  <c r="T42" s="1"/>
  <c r="AF42"/>
  <c r="CT42" s="1"/>
  <c r="S42" s="1"/>
  <c r="AE42"/>
  <c r="CS42" s="1"/>
  <c r="R42" s="1"/>
  <c r="AD42"/>
  <c r="CR42" s="1"/>
  <c r="Q42" s="1"/>
  <c r="AC42"/>
  <c r="CQ42"/>
  <c r="P42" s="1"/>
  <c r="CP42" s="1"/>
  <c r="O42" s="1"/>
  <c r="AJ38"/>
  <c r="CX38"/>
  <c r="AI38"/>
  <c r="CW38" s="1"/>
  <c r="AH38"/>
  <c r="CV38" s="1"/>
  <c r="AG38"/>
  <c r="CU38" s="1"/>
  <c r="AF38"/>
  <c r="CT38" s="1"/>
  <c r="AE38"/>
  <c r="CS38" s="1"/>
  <c r="AD38"/>
  <c r="CR38" s="1"/>
  <c r="AC38"/>
  <c r="CQ38" s="1"/>
  <c r="AB38"/>
  <c r="AJ37"/>
  <c r="CX37" s="1"/>
  <c r="W37" s="1"/>
  <c r="AI37"/>
  <c r="CW37" s="1"/>
  <c r="AH37"/>
  <c r="CV37" s="1"/>
  <c r="AG37"/>
  <c r="CU37" s="1"/>
  <c r="AF37"/>
  <c r="CT37" s="1"/>
  <c r="AE37"/>
  <c r="CS37" s="1"/>
  <c r="AD37"/>
  <c r="CR37" s="1"/>
  <c r="AC37"/>
  <c r="CQ37" s="1"/>
  <c r="AJ29"/>
  <c r="CX29"/>
  <c r="AI29"/>
  <c r="CW29"/>
  <c r="AH29"/>
  <c r="CV29"/>
  <c r="AG29"/>
  <c r="CU29"/>
  <c r="AF29"/>
  <c r="CT29"/>
  <c r="AE29"/>
  <c r="CS29"/>
  <c r="AD29"/>
  <c r="CR29"/>
  <c r="AC29"/>
  <c r="AB29"/>
  <c r="AJ24"/>
  <c r="CX24"/>
  <c r="W24" s="1"/>
  <c r="AI24"/>
  <c r="CW24" s="1"/>
  <c r="V24" s="1"/>
  <c r="AH24"/>
  <c r="CV24" s="1"/>
  <c r="U24" s="1"/>
  <c r="L41" i="6" s="1"/>
  <c r="AG24" i="1"/>
  <c r="CU24" s="1"/>
  <c r="T24" s="1"/>
  <c r="AF24"/>
  <c r="CT24"/>
  <c r="S24" s="1"/>
  <c r="J29" i="5" s="1"/>
  <c r="AE24" i="1"/>
  <c r="CS24" s="1"/>
  <c r="R24" s="1"/>
  <c r="K40" i="6" s="1"/>
  <c r="AD24" i="1"/>
  <c r="CR24" s="1"/>
  <c r="AC24"/>
  <c r="CQ24" s="1"/>
  <c r="P24" s="1"/>
  <c r="A1" i="3"/>
  <c r="A2"/>
  <c r="A3"/>
  <c r="A4"/>
  <c r="A5"/>
  <c r="A6"/>
  <c r="A7"/>
  <c r="A8"/>
  <c r="A9"/>
  <c r="A10"/>
  <c r="A11"/>
  <c r="A12"/>
  <c r="A13"/>
  <c r="A14"/>
  <c r="A15"/>
  <c r="A16"/>
  <c r="A17"/>
  <c r="A1" i="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D12" i="1"/>
  <c r="E18"/>
  <c r="H18"/>
  <c r="I18"/>
  <c r="J18"/>
  <c r="K18"/>
  <c r="L18"/>
  <c r="M18"/>
  <c r="N18"/>
  <c r="Z18"/>
  <c r="AA18"/>
  <c r="AB18"/>
  <c r="AC18"/>
  <c r="AD18"/>
  <c r="AE18"/>
  <c r="AF18"/>
  <c r="AG18"/>
  <c r="AH18"/>
  <c r="AI18"/>
  <c r="AJ18"/>
  <c r="AK18"/>
  <c r="AL18"/>
  <c r="AM18"/>
  <c r="AO18"/>
  <c r="AQ18"/>
  <c r="D20"/>
  <c r="E22"/>
  <c r="H22"/>
  <c r="I22"/>
  <c r="J22"/>
  <c r="K22"/>
  <c r="L22"/>
  <c r="M22"/>
  <c r="N22"/>
  <c r="Z22"/>
  <c r="AA22"/>
  <c r="AM22"/>
  <c r="C24"/>
  <c r="D24"/>
  <c r="FR24"/>
  <c r="I25"/>
  <c r="F37" i="6" s="1"/>
  <c r="AC25" i="1"/>
  <c r="CQ25" s="1"/>
  <c r="AD25"/>
  <c r="CR25" s="1"/>
  <c r="AE25"/>
  <c r="CS25" s="1"/>
  <c r="AF25"/>
  <c r="CT25" s="1"/>
  <c r="AG25"/>
  <c r="CU25" s="1"/>
  <c r="AH25"/>
  <c r="CV25" s="1"/>
  <c r="AI25"/>
  <c r="CW25" s="1"/>
  <c r="AJ25"/>
  <c r="CX25" s="1"/>
  <c r="FR25"/>
  <c r="I26"/>
  <c r="AC26"/>
  <c r="CQ26" s="1"/>
  <c r="AD26"/>
  <c r="AE26"/>
  <c r="CS26" s="1"/>
  <c r="AF26"/>
  <c r="CT26" s="1"/>
  <c r="AG26"/>
  <c r="CU26" s="1"/>
  <c r="AH26"/>
  <c r="CV26" s="1"/>
  <c r="AI26"/>
  <c r="CW26" s="1"/>
  <c r="V26" s="1"/>
  <c r="AJ26"/>
  <c r="CX26" s="1"/>
  <c r="FR26"/>
  <c r="I27"/>
  <c r="AC27"/>
  <c r="AD27"/>
  <c r="CR27"/>
  <c r="AE27"/>
  <c r="CS27" s="1"/>
  <c r="AF27"/>
  <c r="CT27" s="1"/>
  <c r="AG27"/>
  <c r="CU27" s="1"/>
  <c r="T27" s="1"/>
  <c r="AH27"/>
  <c r="CV27" s="1"/>
  <c r="AI27"/>
  <c r="CW27" s="1"/>
  <c r="AJ27"/>
  <c r="CX27" s="1"/>
  <c r="FR27"/>
  <c r="I28"/>
  <c r="AC28"/>
  <c r="CQ28" s="1"/>
  <c r="AD28"/>
  <c r="CR28" s="1"/>
  <c r="AE28"/>
  <c r="CS28"/>
  <c r="AF28"/>
  <c r="CT28"/>
  <c r="AG28"/>
  <c r="CU28"/>
  <c r="T28" s="1"/>
  <c r="AH28"/>
  <c r="CV28" s="1"/>
  <c r="U28" s="1"/>
  <c r="AI28"/>
  <c r="CW28" s="1"/>
  <c r="AJ28"/>
  <c r="CX28"/>
  <c r="W28" s="1"/>
  <c r="FR28"/>
  <c r="C29"/>
  <c r="D29"/>
  <c r="I29"/>
  <c r="W29" s="1"/>
  <c r="FR29"/>
  <c r="AC30"/>
  <c r="AD30"/>
  <c r="CR30"/>
  <c r="AE30"/>
  <c r="CS30" s="1"/>
  <c r="AF30"/>
  <c r="CT30" s="1"/>
  <c r="AG30"/>
  <c r="CU30" s="1"/>
  <c r="AH30"/>
  <c r="CV30" s="1"/>
  <c r="AI30"/>
  <c r="CW30" s="1"/>
  <c r="AJ30"/>
  <c r="CX30" s="1"/>
  <c r="FR30"/>
  <c r="AC31"/>
  <c r="CQ31" s="1"/>
  <c r="AD31"/>
  <c r="CR31" s="1"/>
  <c r="AE31"/>
  <c r="CS31" s="1"/>
  <c r="AF31"/>
  <c r="CT31" s="1"/>
  <c r="AG31"/>
  <c r="CU31" s="1"/>
  <c r="AH31"/>
  <c r="CV31" s="1"/>
  <c r="AI31"/>
  <c r="CW31" s="1"/>
  <c r="AJ31"/>
  <c r="CX31" s="1"/>
  <c r="FR31"/>
  <c r="I32"/>
  <c r="AC32"/>
  <c r="AD32"/>
  <c r="CR32" s="1"/>
  <c r="AE32"/>
  <c r="CS32"/>
  <c r="AF32"/>
  <c r="CT32"/>
  <c r="AG32"/>
  <c r="CU32" s="1"/>
  <c r="AH32"/>
  <c r="CV32" s="1"/>
  <c r="AI32"/>
  <c r="CW32" s="1"/>
  <c r="AJ32"/>
  <c r="CX32" s="1"/>
  <c r="FR32"/>
  <c r="AC33"/>
  <c r="CQ33" s="1"/>
  <c r="AD33"/>
  <c r="CR33" s="1"/>
  <c r="AE33"/>
  <c r="CS33" s="1"/>
  <c r="AF33"/>
  <c r="CT33" s="1"/>
  <c r="AG33"/>
  <c r="CU33" s="1"/>
  <c r="AH33"/>
  <c r="CV33" s="1"/>
  <c r="AI33"/>
  <c r="CW33" s="1"/>
  <c r="AJ33"/>
  <c r="CX33" s="1"/>
  <c r="FR33"/>
  <c r="AC34"/>
  <c r="AD34"/>
  <c r="CR34" s="1"/>
  <c r="AE34"/>
  <c r="CS34" s="1"/>
  <c r="AF34"/>
  <c r="CT34" s="1"/>
  <c r="AG34"/>
  <c r="CU34" s="1"/>
  <c r="AH34"/>
  <c r="CV34" s="1"/>
  <c r="AI34"/>
  <c r="CW34" s="1"/>
  <c r="AJ34"/>
  <c r="CX34" s="1"/>
  <c r="FR34"/>
  <c r="AC35"/>
  <c r="CQ35"/>
  <c r="AD35"/>
  <c r="CR35"/>
  <c r="AE35"/>
  <c r="CS35" s="1"/>
  <c r="AF35"/>
  <c r="CT35" s="1"/>
  <c r="AG35"/>
  <c r="CU35" s="1"/>
  <c r="AH35"/>
  <c r="CV35" s="1"/>
  <c r="AI35"/>
  <c r="CW35"/>
  <c r="AJ35"/>
  <c r="CX35"/>
  <c r="FR35"/>
  <c r="AC36"/>
  <c r="AD36"/>
  <c r="CR36" s="1"/>
  <c r="AE36"/>
  <c r="CS36" s="1"/>
  <c r="AF36"/>
  <c r="CT36" s="1"/>
  <c r="AG36"/>
  <c r="CU36" s="1"/>
  <c r="AH36"/>
  <c r="CV36" s="1"/>
  <c r="AI36"/>
  <c r="CW36" s="1"/>
  <c r="AJ36"/>
  <c r="CX36" s="1"/>
  <c r="FR36"/>
  <c r="C37"/>
  <c r="D37"/>
  <c r="FR37"/>
  <c r="C38"/>
  <c r="D38"/>
  <c r="FR38"/>
  <c r="AC39"/>
  <c r="CQ39" s="1"/>
  <c r="AD39"/>
  <c r="CR39" s="1"/>
  <c r="AE39"/>
  <c r="CS39"/>
  <c r="AF39"/>
  <c r="CT39"/>
  <c r="AG39"/>
  <c r="CU39"/>
  <c r="AH39"/>
  <c r="CV39" s="1"/>
  <c r="AI39"/>
  <c r="CW39" s="1"/>
  <c r="AJ39"/>
  <c r="CX39" s="1"/>
  <c r="FR39"/>
  <c r="AC40"/>
  <c r="CQ40" s="1"/>
  <c r="AB40"/>
  <c r="AD40"/>
  <c r="CR40"/>
  <c r="AE40"/>
  <c r="CS40"/>
  <c r="AF40"/>
  <c r="CT40"/>
  <c r="AG40"/>
  <c r="CU40" s="1"/>
  <c r="AH40"/>
  <c r="CV40" s="1"/>
  <c r="AI40"/>
  <c r="CW40" s="1"/>
  <c r="AJ40"/>
  <c r="CX40" s="1"/>
  <c r="FR40"/>
  <c r="AC41"/>
  <c r="AD41"/>
  <c r="CR41" s="1"/>
  <c r="AE41"/>
  <c r="CS41" s="1"/>
  <c r="AF41"/>
  <c r="CT41" s="1"/>
  <c r="AG41"/>
  <c r="CU41" s="1"/>
  <c r="AH41"/>
  <c r="CV41" s="1"/>
  <c r="AI41"/>
  <c r="CW41" s="1"/>
  <c r="AJ41"/>
  <c r="CX41" s="1"/>
  <c r="FR41"/>
  <c r="C42"/>
  <c r="D42"/>
  <c r="FR42"/>
  <c r="B44"/>
  <c r="B22"/>
  <c r="C44"/>
  <c r="C22"/>
  <c r="D44"/>
  <c r="D22"/>
  <c r="F44"/>
  <c r="F22"/>
  <c r="G44"/>
  <c r="G22"/>
  <c r="AO44"/>
  <c r="AO22" s="1"/>
  <c r="B60"/>
  <c r="B18" s="1"/>
  <c r="C60"/>
  <c r="C18" s="1"/>
  <c r="D60"/>
  <c r="D18" s="1"/>
  <c r="F60"/>
  <c r="F18" s="1"/>
  <c r="G60"/>
  <c r="CR26"/>
  <c r="CQ27"/>
  <c r="AB28"/>
  <c r="CQ29"/>
  <c r="CQ30"/>
  <c r="AB31"/>
  <c r="CQ34"/>
  <c r="AB35"/>
  <c r="AB39"/>
  <c r="CQ32"/>
  <c r="AB42"/>
  <c r="CQ36"/>
  <c r="AB37"/>
  <c r="AB41" l="1"/>
  <c r="AB36"/>
  <c r="CQ41"/>
  <c r="AB34"/>
  <c r="AB32"/>
  <c r="AB26"/>
  <c r="AB25"/>
  <c r="P42" i="6"/>
  <c r="Q24" i="1"/>
  <c r="K35" i="6" s="1"/>
  <c r="O53" i="5"/>
  <c r="P58" i="6"/>
  <c r="CZ42" i="1"/>
  <c r="Y42" s="1"/>
  <c r="CY42"/>
  <c r="X42" s="1"/>
  <c r="O37" i="5"/>
  <c r="AN44" i="1"/>
  <c r="G18"/>
  <c r="AB30"/>
  <c r="AB27"/>
  <c r="W27"/>
  <c r="S26"/>
  <c r="AB33"/>
  <c r="T32"/>
  <c r="Q28"/>
  <c r="AB24"/>
  <c r="O47" i="5"/>
  <c r="V32" i="1"/>
  <c r="R32"/>
  <c r="S29"/>
  <c r="J39" i="5" s="1"/>
  <c r="P32" i="1"/>
  <c r="S37"/>
  <c r="I39"/>
  <c r="E57" i="5" s="1"/>
  <c r="I40" i="1"/>
  <c r="E58" i="5" s="1"/>
  <c r="V38" i="1"/>
  <c r="P68" i="6"/>
  <c r="E54" i="5"/>
  <c r="E59"/>
  <c r="V37" i="1"/>
  <c r="P27"/>
  <c r="Q26"/>
  <c r="CZ24"/>
  <c r="Y24" s="1"/>
  <c r="J34" i="5" s="1"/>
  <c r="J31"/>
  <c r="CY24" i="1"/>
  <c r="X24" s="1"/>
  <c r="J33" i="5" s="1"/>
  <c r="I31" i="1"/>
  <c r="U31" s="1"/>
  <c r="K36" i="6"/>
  <c r="W25" i="1"/>
  <c r="T26"/>
  <c r="R26"/>
  <c r="I33"/>
  <c r="W33" s="1"/>
  <c r="K34" i="6"/>
  <c r="I35" i="1"/>
  <c r="Q35" s="1"/>
  <c r="J35" i="5"/>
  <c r="I36" i="1"/>
  <c r="V36" s="1"/>
  <c r="R28"/>
  <c r="P28"/>
  <c r="W26"/>
  <c r="U26"/>
  <c r="P26"/>
  <c r="CP26" s="1"/>
  <c r="O26" s="1"/>
  <c r="R25"/>
  <c r="V31"/>
  <c r="R31"/>
  <c r="K44" i="6"/>
  <c r="S31" i="1"/>
  <c r="P31"/>
  <c r="W31"/>
  <c r="CP24"/>
  <c r="O24" s="1"/>
  <c r="Q31"/>
  <c r="R35"/>
  <c r="P52" i="6"/>
  <c r="O63" i="5"/>
  <c r="P36" i="1"/>
  <c r="J30" i="5"/>
  <c r="U29" i="1"/>
  <c r="Q29"/>
  <c r="K45" i="6" s="1"/>
  <c r="K36" i="5"/>
  <c r="P29" i="1"/>
  <c r="I34"/>
  <c r="S34" s="1"/>
  <c r="T38"/>
  <c r="W36"/>
  <c r="S36"/>
  <c r="W32"/>
  <c r="U32"/>
  <c r="S32"/>
  <c r="I30"/>
  <c r="R30" s="1"/>
  <c r="F43" i="6"/>
  <c r="S28" i="1"/>
  <c r="V28"/>
  <c r="V27"/>
  <c r="CZ26"/>
  <c r="Y26" s="1"/>
  <c r="CY26"/>
  <c r="X26" s="1"/>
  <c r="S35"/>
  <c r="V35"/>
  <c r="E32" i="5"/>
  <c r="W35" i="1"/>
  <c r="T31"/>
  <c r="F59" i="6"/>
  <c r="F53"/>
  <c r="Q30" i="1"/>
  <c r="AQ44"/>
  <c r="AQ22" s="1"/>
  <c r="U27"/>
  <c r="S27"/>
  <c r="Q27"/>
  <c r="U25"/>
  <c r="V25"/>
  <c r="T25"/>
  <c r="S25"/>
  <c r="Q25"/>
  <c r="P25"/>
  <c r="R27"/>
  <c r="E38" i="5"/>
  <c r="R33" i="1"/>
  <c r="T33"/>
  <c r="Q33"/>
  <c r="P33"/>
  <c r="T34"/>
  <c r="S33"/>
  <c r="V33"/>
  <c r="T30"/>
  <c r="R29"/>
  <c r="V29"/>
  <c r="Q32"/>
  <c r="Q37"/>
  <c r="T37"/>
  <c r="P38"/>
  <c r="R38"/>
  <c r="U33"/>
  <c r="T29"/>
  <c r="Q36"/>
  <c r="P37"/>
  <c r="R37"/>
  <c r="U37"/>
  <c r="K52" i="5" s="1"/>
  <c r="Q38" i="1"/>
  <c r="S38"/>
  <c r="U38"/>
  <c r="W38"/>
  <c r="T36" l="1"/>
  <c r="J49" i="5"/>
  <c r="AN22" i="1"/>
  <c r="F48"/>
  <c r="AN60"/>
  <c r="U39"/>
  <c r="Q39"/>
  <c r="CZ29"/>
  <c r="Y29" s="1"/>
  <c r="K49" i="6" s="1"/>
  <c r="K39"/>
  <c r="CY29" i="1"/>
  <c r="X29" s="1"/>
  <c r="J43" i="5" s="1"/>
  <c r="K38" i="6"/>
  <c r="R41" i="1"/>
  <c r="T40"/>
  <c r="CY37"/>
  <c r="X37" s="1"/>
  <c r="J50" i="5" s="1"/>
  <c r="Q41" i="1"/>
  <c r="CZ37"/>
  <c r="Y37" s="1"/>
  <c r="J51" i="5" s="1"/>
  <c r="K54" i="6"/>
  <c r="W39" i="1"/>
  <c r="J40" i="5"/>
  <c r="CP31" i="1"/>
  <c r="O31" s="1"/>
  <c r="V42" i="6"/>
  <c r="U37" i="5"/>
  <c r="V34" i="1"/>
  <c r="U36"/>
  <c r="R36"/>
  <c r="U35"/>
  <c r="P35"/>
  <c r="T35"/>
  <c r="R34"/>
  <c r="K48" i="6"/>
  <c r="CP36" i="1"/>
  <c r="O36" s="1"/>
  <c r="CP29"/>
  <c r="O29" s="1"/>
  <c r="P41"/>
  <c r="T41"/>
  <c r="F64" i="6"/>
  <c r="U40" i="1"/>
  <c r="AP44"/>
  <c r="AP60" s="1"/>
  <c r="V40"/>
  <c r="CZ28"/>
  <c r="Y28" s="1"/>
  <c r="CY28"/>
  <c r="X28" s="1"/>
  <c r="V30"/>
  <c r="U30"/>
  <c r="W30"/>
  <c r="P30"/>
  <c r="F47" i="6"/>
  <c r="CZ36" i="1"/>
  <c r="Y36" s="1"/>
  <c r="CY36"/>
  <c r="X36" s="1"/>
  <c r="K46" i="5"/>
  <c r="L51" i="6"/>
  <c r="CY31" i="1"/>
  <c r="X31" s="1"/>
  <c r="CZ31"/>
  <c r="Y31" s="1"/>
  <c r="S39"/>
  <c r="R39"/>
  <c r="V39"/>
  <c r="S40"/>
  <c r="Q40"/>
  <c r="F63" i="6"/>
  <c r="P40" i="1"/>
  <c r="W40"/>
  <c r="R40"/>
  <c r="CY32"/>
  <c r="X32" s="1"/>
  <c r="CZ32"/>
  <c r="Y32" s="1"/>
  <c r="W34"/>
  <c r="Q34"/>
  <c r="AD44" s="1"/>
  <c r="Q44" s="1"/>
  <c r="P34"/>
  <c r="U34"/>
  <c r="U41"/>
  <c r="W41"/>
  <c r="V41"/>
  <c r="S41"/>
  <c r="CP41" s="1"/>
  <c r="O41" s="1"/>
  <c r="CP28"/>
  <c r="O28" s="1"/>
  <c r="CP37"/>
  <c r="O37" s="1"/>
  <c r="U53" i="5" s="1"/>
  <c r="E42"/>
  <c r="P39" i="1"/>
  <c r="T39"/>
  <c r="S30"/>
  <c r="CP30" s="1"/>
  <c r="O30" s="1"/>
  <c r="F62" i="6"/>
  <c r="CZ25" i="1"/>
  <c r="Y25" s="1"/>
  <c r="CY25"/>
  <c r="X25" s="1"/>
  <c r="CY34"/>
  <c r="X34" s="1"/>
  <c r="CZ34"/>
  <c r="Y34" s="1"/>
  <c r="J44" i="5"/>
  <c r="CZ35" i="1"/>
  <c r="Y35" s="1"/>
  <c r="CY35"/>
  <c r="X35" s="1"/>
  <c r="CP35"/>
  <c r="O35" s="1"/>
  <c r="CP25"/>
  <c r="O25" s="1"/>
  <c r="CP27"/>
  <c r="O27" s="1"/>
  <c r="CZ27"/>
  <c r="Y27" s="1"/>
  <c r="CY27"/>
  <c r="X27" s="1"/>
  <c r="L67" i="6"/>
  <c r="K62" i="5"/>
  <c r="K61" i="6"/>
  <c r="J56" i="5"/>
  <c r="CP38" i="1"/>
  <c r="O38" s="1"/>
  <c r="J45" i="5"/>
  <c r="J41"/>
  <c r="K50" i="6"/>
  <c r="K46"/>
  <c r="CY33" i="1"/>
  <c r="X33" s="1"/>
  <c r="CZ33"/>
  <c r="Y33" s="1"/>
  <c r="CP33"/>
  <c r="O33" s="1"/>
  <c r="CP32"/>
  <c r="O32" s="1"/>
  <c r="CY38"/>
  <c r="X38" s="1"/>
  <c r="K60" i="6"/>
  <c r="J55" i="5"/>
  <c r="CZ38" i="1"/>
  <c r="Y38" s="1"/>
  <c r="L57" i="6"/>
  <c r="I53" i="5" l="1"/>
  <c r="N53" s="1"/>
  <c r="F64" i="1"/>
  <c r="AN18"/>
  <c r="V52" i="6"/>
  <c r="U47" i="5"/>
  <c r="K56" i="6"/>
  <c r="K55"/>
  <c r="V58"/>
  <c r="AP22" i="1"/>
  <c r="AE44"/>
  <c r="AE22" s="1"/>
  <c r="CZ30"/>
  <c r="Y30" s="1"/>
  <c r="AG44"/>
  <c r="AG22" s="1"/>
  <c r="CP34"/>
  <c r="O34" s="1"/>
  <c r="CY30"/>
  <c r="X30" s="1"/>
  <c r="AI44"/>
  <c r="V44" s="1"/>
  <c r="V22" s="1"/>
  <c r="AH44"/>
  <c r="AH22" s="1"/>
  <c r="AC44"/>
  <c r="P44" s="1"/>
  <c r="AJ44"/>
  <c r="AJ22" s="1"/>
  <c r="K64" i="6"/>
  <c r="J59" i="5"/>
  <c r="AF44" i="1"/>
  <c r="AF22" s="1"/>
  <c r="CP40"/>
  <c r="O40" s="1"/>
  <c r="CP39"/>
  <c r="O39" s="1"/>
  <c r="F49"/>
  <c r="AD22"/>
  <c r="K47" i="6"/>
  <c r="J52" s="1"/>
  <c r="O52" s="1"/>
  <c r="J42" i="5"/>
  <c r="I47" s="1"/>
  <c r="CY40" i="1"/>
  <c r="X40" s="1"/>
  <c r="CZ40"/>
  <c r="Y40" s="1"/>
  <c r="CZ41"/>
  <c r="Y41" s="1"/>
  <c r="CY41"/>
  <c r="X41" s="1"/>
  <c r="CZ39"/>
  <c r="Y39" s="1"/>
  <c r="CY39"/>
  <c r="X39" s="1"/>
  <c r="V37" i="6"/>
  <c r="J32" i="5"/>
  <c r="I37" s="1"/>
  <c r="K37" i="6"/>
  <c r="J42" s="1"/>
  <c r="U32" i="5"/>
  <c r="F65" i="1"/>
  <c r="AP18"/>
  <c r="U63" i="5"/>
  <c r="V68" i="6"/>
  <c r="Q22" i="1"/>
  <c r="Q60"/>
  <c r="F50"/>
  <c r="K65" i="6"/>
  <c r="J60" i="5"/>
  <c r="K66" i="6"/>
  <c r="J61" i="5"/>
  <c r="R44" i="1" l="1"/>
  <c r="F51" s="1"/>
  <c r="V47" i="6"/>
  <c r="J58"/>
  <c r="O58" s="1"/>
  <c r="K47" i="5"/>
  <c r="N47"/>
  <c r="L58" i="6"/>
  <c r="U42" i="5"/>
  <c r="AI22" i="1"/>
  <c r="U44"/>
  <c r="F54" s="1"/>
  <c r="W44"/>
  <c r="W22" s="1"/>
  <c r="T44"/>
  <c r="F53" s="1"/>
  <c r="F55"/>
  <c r="L52" i="6"/>
  <c r="V60" i="1"/>
  <c r="V18" s="1"/>
  <c r="AC22"/>
  <c r="S44"/>
  <c r="S60" s="1"/>
  <c r="AB44"/>
  <c r="AB22" s="1"/>
  <c r="K63" i="6"/>
  <c r="J58" i="5"/>
  <c r="J57"/>
  <c r="K62" i="6"/>
  <c r="AL44" i="1"/>
  <c r="AL22" s="1"/>
  <c r="V63" i="6"/>
  <c r="U58" i="5"/>
  <c r="V62" i="6"/>
  <c r="U57" i="5"/>
  <c r="V64" i="6"/>
  <c r="U59" i="5"/>
  <c r="AK44" i="1"/>
  <c r="AK22" s="1"/>
  <c r="O42" i="6"/>
  <c r="L42"/>
  <c r="N37" i="5"/>
  <c r="K37"/>
  <c r="P22" i="1"/>
  <c r="F47"/>
  <c r="P60"/>
  <c r="U60"/>
  <c r="R60"/>
  <c r="R22"/>
  <c r="Q18"/>
  <c r="F66"/>
  <c r="U22" l="1"/>
  <c r="T60"/>
  <c r="T18" s="1"/>
  <c r="F56"/>
  <c r="T22"/>
  <c r="W60"/>
  <c r="S22"/>
  <c r="F71"/>
  <c r="F52"/>
  <c r="F69"/>
  <c r="O44"/>
  <c r="O60" s="1"/>
  <c r="F62" s="1"/>
  <c r="I63" i="5"/>
  <c r="Y44" i="1"/>
  <c r="Y60" s="1"/>
  <c r="X44"/>
  <c r="F57" s="1"/>
  <c r="F68"/>
  <c r="S18"/>
  <c r="F70"/>
  <c r="U18"/>
  <c r="O18"/>
  <c r="R18"/>
  <c r="F67"/>
  <c r="P18"/>
  <c r="F63"/>
  <c r="W18" l="1"/>
  <c r="F72"/>
  <c r="K63" i="5"/>
  <c r="N63"/>
  <c r="I65" s="1"/>
  <c r="O68" i="6"/>
  <c r="Y22" i="1"/>
  <c r="O22"/>
  <c r="F46"/>
  <c r="F58"/>
  <c r="X60"/>
  <c r="F73" s="1"/>
  <c r="X22"/>
  <c r="Y18"/>
  <c r="F74"/>
  <c r="X18" l="1"/>
  <c r="H24" i="6"/>
  <c r="F75" i="1"/>
  <c r="F76" s="1"/>
  <c r="F77" l="1"/>
</calcChain>
</file>

<file path=xl/sharedStrings.xml><?xml version="1.0" encoding="utf-8"?>
<sst xmlns="http://schemas.openxmlformats.org/spreadsheetml/2006/main" count="1260" uniqueCount="252">
  <si>
    <t>Smeta.ru  (495) 974-1589</t>
  </si>
  <si>
    <t>_PS_</t>
  </si>
  <si>
    <t>Smeta.ru</t>
  </si>
  <si>
    <t>ООО "САНСТРОЙ"  Доп. раб. место  FStS-0044242</t>
  </si>
  <si>
    <t>Новый объект</t>
  </si>
  <si>
    <t/>
  </si>
  <si>
    <t>ТСН-2001 ремонт</t>
  </si>
  <si>
    <t>Сметные нормы списания</t>
  </si>
  <si>
    <t>Коды ОКП для ТСН-2001</t>
  </si>
  <si>
    <t>ТСН 2001- Ремонт</t>
  </si>
  <si>
    <t>Типовой расчет для ТСН-2001 (Ремонт)</t>
  </si>
  <si>
    <t>ТСН-2001</t>
  </si>
  <si>
    <t>Поправки для ТСН-2001</t>
  </si>
  <si>
    <t>Новая локальная смета</t>
  </si>
  <si>
    <t>{6B8ADEAF-3C5A-4169-A13C-652B12D06007}</t>
  </si>
  <si>
    <t>1</t>
  </si>
  <si>
    <t>3.27-77-3</t>
  </si>
  <si>
    <t>НАНЕСЕНИЕ ПОПЕРЕЧНОЙ ЛИНИИ ДОРОЖНОЙ РАЗМЕТКИ КРАСКОЙ</t>
  </si>
  <si>
    <t>м2</t>
  </si>
  <si>
    <t>ТСН-2001.3. База. Сб.27, т.77, поз.3</t>
  </si>
  <si>
    <t>*1,25</t>
  </si>
  <si>
    <t>*1,15</t>
  </si>
  <si>
    <t>Строительные работы</t>
  </si>
  <si>
    <t>ТСН-2001.3-27. 27-77...27-90</t>
  </si>
  <si>
    <t>ТСН-2001.3-27-25</t>
  </si>
  <si>
    <t>1,1</t>
  </si>
  <si>
    <t>1.1-1-2254</t>
  </si>
  <si>
    <t>КРАСКА ДОРОЖНАЯ (ЭМАЛЬ) БЕЛАЯ, МАРКА "АК-505"</t>
  </si>
  <si>
    <t>т</t>
  </si>
  <si>
    <t>ТСН-2001.1. База. Р.1, о.1, поз.2254</t>
  </si>
  <si>
    <t>1,2</t>
  </si>
  <si>
    <t>1.1-1-1973</t>
  </si>
  <si>
    <t>КРАСКА ДОРОЖНАЯ РАЗМЕТОЧНАЯ БЕЛАЯ, МАРКА "MAC GREGOR ALASKA"</t>
  </si>
  <si>
    <t>кг</t>
  </si>
  <si>
    <t>ТСН-2001.1. База. Р.1, о.1, поз.1973</t>
  </si>
  <si>
    <t>1,3</t>
  </si>
  <si>
    <t>1.1-1-2596</t>
  </si>
  <si>
    <t>КРАСКА ДОРОЖНАЯ БЕЛАЯ, МАРКА "КОЛОР-М"</t>
  </si>
  <si>
    <t>ТСН-2001.1. База. Р.1, о.1, поз.2596</t>
  </si>
  <si>
    <t>1,4</t>
  </si>
  <si>
    <t>1.1-1-2872</t>
  </si>
  <si>
    <t>КРАСКА ДОРОЖНАЯ БЕЛАЯ, МАРКА "РАСТР"</t>
  </si>
  <si>
    <t>ТСН-2001.1. Д.1. Р.1, о.1, поз.2872</t>
  </si>
  <si>
    <t>2</t>
  </si>
  <si>
    <t>2,1</t>
  </si>
  <si>
    <t>1.1-1-2257</t>
  </si>
  <si>
    <t>ПРИМ.- КРАСКА ДОРОЖНАЯ КРАСНАЯ, МАРКА "АК-505"</t>
  </si>
  <si>
    <t>ТСН-2001.1. База. Р.1, о.1, поз.2257</t>
  </si>
  <si>
    <t>2,2</t>
  </si>
  <si>
    <t>1.1-1-2597</t>
  </si>
  <si>
    <t>ПРИМ.- КРАСКА ДОРОЖНАЯ КРАСНАЯ</t>
  </si>
  <si>
    <t>ТСН-2001.1. База. Р.1, о.1, поз.2597</t>
  </si>
  <si>
    <t>2,3</t>
  </si>
  <si>
    <t>2,4</t>
  </si>
  <si>
    <t>1.1-1-2266</t>
  </si>
  <si>
    <t>КРАСКА ДОРОЖНАЯ КРАСНАЯ, МАРКА "БЕНДАКС ТЕНОР" (ФИРМА "МАЭСТРИЯ")</t>
  </si>
  <si>
    <t>ТСН-2001.1. База. Р.1, о.1, поз.2266</t>
  </si>
  <si>
    <t>2,5</t>
  </si>
  <si>
    <t>2,6</t>
  </si>
  <si>
    <t>1.1-1-2702</t>
  </si>
  <si>
    <t>КРАСКИ ДОРОЖНЫЕ ЖЕЛТЫЕ, МАРКА АК 521 "АВТОМАГИСТРАЛЬ"</t>
  </si>
  <si>
    <t>ТСН-2001.1. База. Р.1, о.1, поз.2702</t>
  </si>
  <si>
    <t>2,7</t>
  </si>
  <si>
    <t>3</t>
  </si>
  <si>
    <t>6.51-4-1</t>
  </si>
  <si>
    <t>РЫТЬЕ ЯМ ДЛЯ УСТАНОВКИ СТОЕК И СТОЛБОВ ГЛУБИНА, М: 0,4</t>
  </si>
  <si>
    <t>100 ям</t>
  </si>
  <si>
    <t>ТСН-2001.6. База. Сб.51, т.4, поз.1</t>
  </si>
  <si>
    <t>Ремонтно-строительные работы</t>
  </si>
  <si>
    <t>ТСН-2001.6-51. 51-1...51-4</t>
  </si>
  <si>
    <t>ТСН-2001.6-51-1</t>
  </si>
  <si>
    <t>4</t>
  </si>
  <si>
    <t>3.27-71-1</t>
  </si>
  <si>
    <t>УСТАНОВКА ДОРОЖНЫХ ЗНАКОВ НА МЕТАЛЛИЧЕСКИХ СТОЙКАХ</t>
  </si>
  <si>
    <t>100 шт.</t>
  </si>
  <si>
    <t>ТСН-2001.3. База. Сб.27, т.71, поз.1</t>
  </si>
  <si>
    <t>*0</t>
  </si>
  <si>
    <t>ТСН-2001.3-27. 27-71, 27-72</t>
  </si>
  <si>
    <t>ТСН-2001.3-27-22</t>
  </si>
  <si>
    <t>4,1</t>
  </si>
  <si>
    <t>1.7-13-100</t>
  </si>
  <si>
    <t>СТОЙКИ ИЗ ОЦИНКОВАННОЙ СТАЛИ, ДИАМЕТР 76 ММ, ДЛИНА 3 М</t>
  </si>
  <si>
    <t>шт.</t>
  </si>
  <si>
    <t>ТСН-2001.1. База. Р.7, о.13, поз.100</t>
  </si>
  <si>
    <t>4,2</t>
  </si>
  <si>
    <t>1.7-13-4</t>
  </si>
  <si>
    <t>ЗНАКИ ИЗ ТОНКОЛИСТОВОЙ ОЦИНКОВАННОЙ СТАЛИ СО СВЕТОВОЗВРАЩАЮЩЕЙ ПЛЕНКОЙ, КРУГЛОЙ ФОРМЫ, ДИАМЕТР 600 ММ</t>
  </si>
  <si>
    <t>ТСН-2001.1. База. Р.7, о.13, поз.4</t>
  </si>
  <si>
    <t>4,3</t>
  </si>
  <si>
    <t>1.7-13-16</t>
  </si>
  <si>
    <t>ЗНАКИ ИЗ ТОНКОЛИСТОВОЙ ОЦИНКОВАННОЙ СТАЛИ СО СВЕТОВОЗВРАЩАЮЩЕЙ ПЛЕНКОЙ, ПРЯМОУГОЛЬНОЙ ФОРМЫ, СО СТОРОНАМИ РАЗМЕРОМ 300Х600 ММ</t>
  </si>
  <si>
    <t>ТСН-2001.1. База. Р.7, о.13, поз.16</t>
  </si>
  <si>
    <t>5</t>
  </si>
  <si>
    <t>6.66-105-1</t>
  </si>
  <si>
    <t>УСТАНОВКА ПРЕДУПРЕДИТЕЛЬНЫХ ЗНАКОВ</t>
  </si>
  <si>
    <t>ТСН-2001.6. База. Сб.66, т.105, поз.1</t>
  </si>
  <si>
    <t>ТСН-2001.6-66. 66-101...66-117</t>
  </si>
  <si>
    <t>ТСН-2001.6-66-21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</si>
  <si>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</si>
  <si>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</si>
  <si>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</si>
  <si>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</si>
  <si>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</si>
  <si>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</si>
  <si>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</si>
  <si>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</si>
  <si>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</si>
  <si>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</si>
  <si>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</si>
  <si>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</si>
  <si>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</si>
  <si>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</si>
  <si>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</si>
  <si>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</si>
  <si>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</si>
  <si>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</si>
  <si>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</si>
  <si>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</si>
  <si>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</si>
  <si>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</si>
  <si>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</si>
  <si>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</si>
  <si>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</si>
  <si>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</si>
  <si>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ит</t>
  </si>
  <si>
    <t>ИТОГО</t>
  </si>
  <si>
    <t>НДС</t>
  </si>
  <si>
    <t>НДС-18%</t>
  </si>
  <si>
    <t>Вс</t>
  </si>
  <si>
    <t>Всего</t>
  </si>
  <si>
    <t>9999990008</t>
  </si>
  <si>
    <t>ТРУДОЗАТРАТЫ РАБОЧИХ (ЭСН)</t>
  </si>
  <si>
    <t>чел.-ч.</t>
  </si>
  <si>
    <t>2.1-5-75</t>
  </si>
  <si>
    <t>ТСН-2001.2. База. п.1-5-75 (057208)</t>
  </si>
  <si>
    <t>МАШИНЫ РАЗМЕТОЧНЫЕ, ТИП BMT-350С, ДЛЯ НАНЕСЕНИЯ КРАСКИ, ФИРМА “BORUM INDASTRI A/S”, ДАНИЯ</t>
  </si>
  <si>
    <t>маш.-ч</t>
  </si>
  <si>
    <t>1.1-1-2261</t>
  </si>
  <si>
    <t>ТСН-2001.1. База. Р.1, о.1, поз.2261</t>
  </si>
  <si>
    <t>КРАСКА ДОРОЖНАЯ БЕЛАЯ, МАРКА "LIMBOROUTE HR" (ФИРМА " SWARCO")</t>
  </si>
  <si>
    <t>1.1-1-2262</t>
  </si>
  <si>
    <t>ТСН-2001.1. База. Р.1, о.1, поз.2262</t>
  </si>
  <si>
    <t>КРАСКА ДОРОЖНАЯ БЕЛАЯ, МАРКА "HS-6" (ФИРМА "PLASTIROUTE")</t>
  </si>
  <si>
    <t>1.1-1-2265</t>
  </si>
  <si>
    <t>ТСН-2001.1. База. Р.1, о.1, поз.2265</t>
  </si>
  <si>
    <t>КРАСКА ДОРОЖНАЯ ЖЕЛТАЯ, МАРКА "БЕНДАКС ТЕНОР" (ФИРМА "МАЭСТРИЯ")</t>
  </si>
  <si>
    <t>2.1-9-1</t>
  </si>
  <si>
    <t>ТСН-2001.2. База. п.1-9-1 (090101)</t>
  </si>
  <si>
    <t>МАШИНЫ БУРИЛЬНО-КРАНОВЫЕ НА БАЗЕ ТРАКТОРА, ГЛУБИНА БУРЕНИЯ ДО 5 М</t>
  </si>
  <si>
    <t>1.1-1-58</t>
  </si>
  <si>
    <t>ТСН-2001.1. База. Р.1, о.1, поз.58</t>
  </si>
  <si>
    <t>БОЛТЫ СТРОИТЕЛЬНЫЕ С ГАЙКАМИ ОЦИНКОВАННЫЕ (10Х100ММ)</t>
  </si>
  <si>
    <t>1.7-13-29</t>
  </si>
  <si>
    <t>ТСН-2001.1. База. Р.7, о.13, поз.29</t>
  </si>
  <si>
    <t>ЗНАКИ ИЗ АЛЮМИНИЕВОГО СПЛАВА СО СВЕТОВОЗВРАЩАЮЩЕЙ ПЛЕНКОЙ, ПРЯМОУГОЛЬНОЙ ФОРМЫ, СО СТОРОНАМИ РАЗМЕРОМ 350Х700 ММ</t>
  </si>
  <si>
    <t>2.1-17-76</t>
  </si>
  <si>
    <t>ТСН-2001.2. База. п.1-17-76 (177601)</t>
  </si>
  <si>
    <t>СПЕЦФУРГОН ТИПА ДКТ</t>
  </si>
  <si>
    <t>1.1-1-1330</t>
  </si>
  <si>
    <t>ТСН-2001.1. База. Р.1, о.1, поз.1330</t>
  </si>
  <si>
    <t>ЦЕМЕНТ ОБЩЕСТРОИТЕЛЬНЫЙ, ПОРТЛАНДЦЕМЕНТ ОБЩЕГО НАЗНАЧЕНИЯ, МАРКА 500</t>
  </si>
  <si>
    <t>1.1-1-1512</t>
  </si>
  <si>
    <t>ТСН-2001.1. База. Р.1, о.1, поз.1512</t>
  </si>
  <si>
    <t>ЩЕБЕНЬ ГРАВИЙНЫЙ, ФРАКЦИЯ 5-20 ММ</t>
  </si>
  <si>
    <t>м3</t>
  </si>
  <si>
    <t>1.1-1-766</t>
  </si>
  <si>
    <t>ТСН-2001.1. База. Р.1, о.1, поз.766</t>
  </si>
  <si>
    <t>ПЕСОК ДЛЯ СТРОИТЕЛЬНЫХ РАБОТ, РЯДОВОЙ</t>
  </si>
  <si>
    <t>2316310000</t>
  </si>
  <si>
    <t>КРАСКИ</t>
  </si>
  <si>
    <t>5216100000</t>
  </si>
  <si>
    <t>ЩИТКИ МЕТАЛЛИЧЕСКИЕ</t>
  </si>
  <si>
    <t>СТОЙКИ МЕТАЛЛИЧЕСКИЕ</t>
  </si>
  <si>
    <t>Форма № 1</t>
  </si>
  <si>
    <t>"УТВЕРЖДАЮ"</t>
  </si>
  <si>
    <t>(наименование работ и затрат, наименование объекта)</t>
  </si>
  <si>
    <t>Сметная стоимость</t>
  </si>
  <si>
    <t>тыс.руб</t>
  </si>
  <si>
    <t>Составлен(а) в уровне текущих (прогнозных) цен на</t>
  </si>
  <si>
    <t>г.</t>
  </si>
  <si>
    <t>№</t>
  </si>
  <si>
    <t>п/п</t>
  </si>
  <si>
    <t>Шифр</t>
  </si>
  <si>
    <t>расценки</t>
  </si>
  <si>
    <t>и коды</t>
  </si>
  <si>
    <t>ресурсов</t>
  </si>
  <si>
    <t>Наименование работ и затрат</t>
  </si>
  <si>
    <t>Единица</t>
  </si>
  <si>
    <t>изме-</t>
  </si>
  <si>
    <t>рения</t>
  </si>
  <si>
    <t>Кол-во</t>
  </si>
  <si>
    <t>единиц</t>
  </si>
  <si>
    <t>Цена</t>
  </si>
  <si>
    <t>на ед.</t>
  </si>
  <si>
    <t>изм.</t>
  </si>
  <si>
    <t>руб.</t>
  </si>
  <si>
    <t>Коэффициенты</t>
  </si>
  <si>
    <t>попра-</t>
  </si>
  <si>
    <t>вочные</t>
  </si>
  <si>
    <t>зимних</t>
  </si>
  <si>
    <t>удоро-</t>
  </si>
  <si>
    <t>жаний</t>
  </si>
  <si>
    <t>перес-</t>
  </si>
  <si>
    <t>чета</t>
  </si>
  <si>
    <t>ВСЕГО</t>
  </si>
  <si>
    <t>затрат,</t>
  </si>
  <si>
    <t>Справочно</t>
  </si>
  <si>
    <t>ЗТР, всего</t>
  </si>
  <si>
    <t>чел.-час</t>
  </si>
  <si>
    <t>Ст-ть ед.</t>
  </si>
  <si>
    <t>с начислен.</t>
  </si>
  <si>
    <t>ЗП</t>
  </si>
  <si>
    <t>ЭМ</t>
  </si>
  <si>
    <t>в т.ч. ЗПМ</t>
  </si>
  <si>
    <t>НР от ЗП</t>
  </si>
  <si>
    <t>%</t>
  </si>
  <si>
    <t>СП от ЗП</t>
  </si>
  <si>
    <t>НР и СП от ЗПМ</t>
  </si>
  <si>
    <t>ЗТР</t>
  </si>
  <si>
    <t>чел-ч</t>
  </si>
  <si>
    <t>МР</t>
  </si>
  <si>
    <t>Итого</t>
  </si>
  <si>
    <t>Составил</t>
  </si>
  <si>
    <t>[должность,подпись(инициалы,фамилия)]</t>
  </si>
  <si>
    <t>Проверил:</t>
  </si>
  <si>
    <t>Код</t>
  </si>
  <si>
    <t>Форма по ОКУД</t>
  </si>
  <si>
    <t>Инвестор</t>
  </si>
  <si>
    <t>по ОКПО</t>
  </si>
  <si>
    <t>Заказчик</t>
  </si>
  <si>
    <t>Подрядчик</t>
  </si>
  <si>
    <t>Стройка</t>
  </si>
  <si>
    <t>Объект</t>
  </si>
  <si>
    <t>Договор подряда</t>
  </si>
  <si>
    <t>номер</t>
  </si>
  <si>
    <t>дата</t>
  </si>
  <si>
    <t>Вид операции</t>
  </si>
  <si>
    <t>с</t>
  </si>
  <si>
    <t>по</t>
  </si>
  <si>
    <t>AKT</t>
  </si>
  <si>
    <t>Сметная (договорная) стоимость в соответствии с договором подряда (субподряда)</t>
  </si>
  <si>
    <t>Заказчик:</t>
  </si>
  <si>
    <t>Подрядчик:</t>
  </si>
  <si>
    <t>Номер</t>
  </si>
  <si>
    <t>поз. по смете</t>
  </si>
  <si>
    <t>выполнение работ по разметке площадок для расстановки пожарной (специальной) техники 132 шт.</t>
  </si>
  <si>
    <t>м.п.</t>
  </si>
  <si>
    <t>ГКУ "ИС района Митино"</t>
  </si>
  <si>
    <t>С учетом коэффициента 0,9</t>
  </si>
  <si>
    <t>Заместитель руководителя</t>
  </si>
  <si>
    <t>М.М. Федотовских</t>
  </si>
  <si>
    <t>"16" августа 2012г.</t>
  </si>
</sst>
</file>

<file path=xl/styles.xml><?xml version="1.0" encoding="utf-8"?>
<styleSheet xmlns="http://schemas.openxmlformats.org/spreadsheetml/2006/main">
  <numFmts count="3">
    <numFmt numFmtId="164" formatCode="#,##0.00;[Red]\-\ #,##0.00"/>
    <numFmt numFmtId="165" formatCode="mmmm"/>
    <numFmt numFmtId="166" formatCode="0.0000"/>
  </numFmts>
  <fonts count="23">
    <font>
      <sz val="10"/>
      <name val="Arial"/>
      <charset val="204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17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  <font>
      <b/>
      <u/>
      <sz val="14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 Cyr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164" fontId="0" fillId="0" borderId="0" xfId="0" applyNumberFormat="1"/>
    <xf numFmtId="164" fontId="7" fillId="0" borderId="0" xfId="0" applyNumberFormat="1" applyFont="1"/>
    <xf numFmtId="165" fontId="5" fillId="0" borderId="0" xfId="0" applyNumberFormat="1" applyFont="1"/>
    <xf numFmtId="1" fontId="5" fillId="0" borderId="0" xfId="0" applyNumberFormat="1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Alignment="1">
      <alignment vertical="top" wrapText="1"/>
    </xf>
    <xf numFmtId="0" fontId="12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164" fontId="7" fillId="0" borderId="0" xfId="0" applyNumberFormat="1" applyFont="1" applyAlignment="1">
      <alignment horizontal="right"/>
    </xf>
    <xf numFmtId="0" fontId="7" fillId="0" borderId="7" xfId="0" applyFont="1" applyBorder="1"/>
    <xf numFmtId="0" fontId="7" fillId="0" borderId="7" xfId="0" applyFont="1" applyBorder="1" applyAlignment="1">
      <alignment wrapText="1"/>
    </xf>
    <xf numFmtId="164" fontId="7" fillId="0" borderId="7" xfId="0" applyNumberFormat="1" applyFont="1" applyBorder="1"/>
    <xf numFmtId="164" fontId="13" fillId="0" borderId="0" xfId="0" applyNumberFormat="1" applyFont="1"/>
    <xf numFmtId="0" fontId="13" fillId="0" borderId="0" xfId="0" applyFont="1"/>
    <xf numFmtId="0" fontId="0" fillId="0" borderId="7" xfId="0" applyBorder="1"/>
    <xf numFmtId="0" fontId="14" fillId="0" borderId="0" xfId="0" applyFont="1"/>
    <xf numFmtId="0" fontId="15" fillId="0" borderId="0" xfId="0" applyFont="1"/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0" xfId="0" applyFont="1"/>
    <xf numFmtId="0" fontId="7" fillId="0" borderId="9" xfId="0" applyFont="1" applyBorder="1"/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166" fontId="7" fillId="0" borderId="0" xfId="0" applyNumberFormat="1" applyFont="1"/>
    <xf numFmtId="0" fontId="6" fillId="0" borderId="0" xfId="0" applyFont="1" applyBorder="1"/>
    <xf numFmtId="0" fontId="19" fillId="0" borderId="0" xfId="0" applyFont="1" applyBorder="1"/>
    <xf numFmtId="0" fontId="1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21" fillId="0" borderId="0" xfId="0" applyFont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center" vertical="top"/>
    </xf>
    <xf numFmtId="0" fontId="0" fillId="0" borderId="0" xfId="0" applyAlignment="1">
      <alignment wrapText="1"/>
    </xf>
    <xf numFmtId="164" fontId="9" fillId="0" borderId="0" xfId="0" applyNumberFormat="1" applyFont="1" applyAlignment="1">
      <alignment horizontal="right"/>
    </xf>
    <xf numFmtId="0" fontId="14" fillId="0" borderId="9" xfId="0" applyFont="1" applyBorder="1" applyAlignment="1">
      <alignment horizontal="center"/>
    </xf>
    <xf numFmtId="164" fontId="9" fillId="0" borderId="9" xfId="0" applyNumberFormat="1" applyFont="1" applyBorder="1" applyAlignment="1">
      <alignment horizontal="right"/>
    </xf>
    <xf numFmtId="0" fontId="7" fillId="0" borderId="0" xfId="0" applyFont="1" applyAlignment="1">
      <alignment horizontal="left" wrapText="1"/>
    </xf>
    <xf numFmtId="164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center"/>
    </xf>
    <xf numFmtId="164" fontId="15" fillId="0" borderId="7" xfId="0" applyNumberFormat="1" applyFont="1" applyBorder="1"/>
    <xf numFmtId="0" fontId="7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8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5" fillId="0" borderId="7" xfId="0" applyFont="1" applyBorder="1" applyAlignment="1">
      <alignment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1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4" fontId="13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Shleeva/LOCALS~1/Temp/Rar$DI28.94641/&#1056;&#1072;&#1079;&#1084;&#1077;&#1090;&#1082;&#1072;%20&#1087;&#1083;&#1086;&#1097;&#1072;&#1076;&#1086;&#1082;%20&#1076;&#1083;&#1103;%20&#1089;&#1087;&#1077;&#1094;&#1090;&#1077;&#1093;&#1085;&#1080;&#1082;&#1080;%20(43%20&#1096;&#1090;.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Акт КС-2 по ТСН-2001"/>
      <sheetName val="Смета по ТСН-2001"/>
      <sheetName val="Source"/>
      <sheetName val="SmtRes"/>
      <sheetName val="EtalonRes"/>
      <sheetName val="ClcRes"/>
    </sheetNames>
    <sheetDataSet>
      <sheetData sheetId="0"/>
      <sheetData sheetId="1"/>
      <sheetData sheetId="2">
        <row r="12">
          <cell r="F12" t="str">
            <v>Новый объект</v>
          </cell>
          <cell r="G12" t="str">
            <v>выполнение работ по разметке площадок для расстановки пожарной (специальной) техники - 43 шт.</v>
          </cell>
        </row>
        <row r="20">
          <cell r="F20" t="str">
            <v>Новая локальная смета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4"/>
  <sheetViews>
    <sheetView topLeftCell="A70" zoomScaleNormal="100" workbookViewId="0">
      <selection activeCell="L68" sqref="L68"/>
    </sheetView>
  </sheetViews>
  <sheetFormatPr defaultRowHeight="12.75"/>
  <cols>
    <col min="1" max="1" width="4.7109375" customWidth="1"/>
    <col min="2" max="2" width="5.7109375" customWidth="1"/>
    <col min="3" max="3" width="12.28515625" customWidth="1"/>
    <col min="4" max="4" width="30.7109375" customWidth="1"/>
    <col min="5" max="5" width="10.7109375" customWidth="1"/>
    <col min="8" max="9" width="9.7109375" customWidth="1"/>
    <col min="10" max="10" width="10.7109375" customWidth="1"/>
    <col min="11" max="11" width="9.7109375" customWidth="1"/>
    <col min="12" max="12" width="10.7109375" customWidth="1"/>
    <col min="13" max="27" width="0" hidden="1" customWidth="1"/>
    <col min="28" max="28" width="57.5703125" hidden="1" customWidth="1"/>
    <col min="29" max="29" width="0" hidden="1" customWidth="1"/>
  </cols>
  <sheetData>
    <row r="1" spans="1:28" s="4" customFormat="1" ht="11.25">
      <c r="A1" s="36" t="str">
        <f>CONCATENATE(Source!B1, "     ТСН-2001 (© ОАО МЦЦС 'Мосстройцены', 2006)")</f>
        <v>Smeta.ru  (495) 974-1589     ТСН-2001 (© ОАО МЦЦС 'Мосстройцены', 2006)</v>
      </c>
      <c r="B1" s="36"/>
      <c r="I1" s="87"/>
      <c r="J1" s="87"/>
      <c r="K1" s="87"/>
      <c r="L1" s="87"/>
    </row>
    <row r="2" spans="1:28">
      <c r="I2" s="87"/>
      <c r="J2" s="87"/>
      <c r="K2" s="87"/>
      <c r="L2" s="87"/>
    </row>
    <row r="3" spans="1:28">
      <c r="I3" s="87"/>
      <c r="J3" s="87"/>
      <c r="K3" s="87"/>
      <c r="L3" s="87"/>
    </row>
    <row r="5" spans="1:28" s="4" customFormat="1" ht="11.25">
      <c r="K5" s="78" t="s">
        <v>225</v>
      </c>
      <c r="L5" s="79"/>
    </row>
    <row r="6" spans="1:28" s="4" customFormat="1" ht="11.25">
      <c r="J6" s="39" t="s">
        <v>226</v>
      </c>
      <c r="K6" s="78">
        <v>322005</v>
      </c>
      <c r="L6" s="79"/>
    </row>
    <row r="7" spans="1:28" s="4" customFormat="1" ht="11.25">
      <c r="A7" s="4" t="s">
        <v>227</v>
      </c>
      <c r="D7" s="88"/>
      <c r="E7" s="88"/>
      <c r="F7" s="88"/>
      <c r="G7" s="88"/>
      <c r="J7" s="39" t="s">
        <v>228</v>
      </c>
      <c r="K7" s="78"/>
      <c r="L7" s="79"/>
      <c r="AB7" s="40"/>
    </row>
    <row r="8" spans="1:28" s="4" customFormat="1" ht="11.25">
      <c r="A8" s="4" t="s">
        <v>229</v>
      </c>
      <c r="D8" s="80" t="str">
        <f>IF(Source!CG12&lt;&gt;"",Source!CG12," ")</f>
        <v xml:space="preserve"> </v>
      </c>
      <c r="E8" s="80"/>
      <c r="F8" s="80"/>
      <c r="G8" s="80"/>
      <c r="J8" s="39" t="s">
        <v>228</v>
      </c>
      <c r="K8" s="78"/>
      <c r="L8" s="79"/>
      <c r="AB8" s="41" t="str">
        <f>IF(Source!CG12&lt;&gt;"",Source!CG12," ")</f>
        <v xml:space="preserve"> </v>
      </c>
    </row>
    <row r="9" spans="1:28" s="4" customFormat="1" ht="11.25">
      <c r="A9" s="4" t="s">
        <v>230</v>
      </c>
      <c r="D9" s="80" t="str">
        <f>IF(Source!CH12&lt;&gt;"",Source!CH12," ")</f>
        <v xml:space="preserve"> </v>
      </c>
      <c r="E9" s="80"/>
      <c r="F9" s="80"/>
      <c r="G9" s="80"/>
      <c r="J9" s="39" t="s">
        <v>228</v>
      </c>
      <c r="K9" s="78"/>
      <c r="L9" s="79"/>
      <c r="AB9" s="41" t="str">
        <f>IF(Source!CH12&lt;&gt;"",Source!CH12," ")</f>
        <v xml:space="preserve"> </v>
      </c>
    </row>
    <row r="10" spans="1:28" s="4" customFormat="1" ht="11.25">
      <c r="A10" s="4" t="s">
        <v>231</v>
      </c>
      <c r="D10" s="80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  <c r="E10" s="80"/>
      <c r="F10" s="80"/>
      <c r="G10" s="80"/>
      <c r="K10" s="78"/>
      <c r="L10" s="79"/>
      <c r="AB10" s="41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</row>
    <row r="11" spans="1:28" s="4" customFormat="1" ht="22.5">
      <c r="A11" s="4" t="s">
        <v>232</v>
      </c>
      <c r="D11" s="80"/>
      <c r="E11" s="80"/>
      <c r="F11" s="80"/>
      <c r="G11" s="80"/>
      <c r="K11" s="78"/>
      <c r="L11" s="79"/>
      <c r="AB11" s="41" t="str">
        <f>IF(Source!G12&lt;&gt;"",Source!G12,IF(Source!F12&lt;&gt;"",Source!F12," "))</f>
        <v>выполнение работ по разметке площадок для расстановки пожарной (специальной) техники 132 шт.</v>
      </c>
    </row>
    <row r="12" spans="1:28" s="4" customFormat="1" ht="11.25">
      <c r="H12" s="81"/>
      <c r="I12" s="81"/>
      <c r="J12" s="81"/>
      <c r="K12" s="78"/>
      <c r="L12" s="79"/>
    </row>
    <row r="13" spans="1:28" s="4" customFormat="1" ht="11.25">
      <c r="H13" s="81" t="s">
        <v>233</v>
      </c>
      <c r="I13" s="81"/>
      <c r="J13" s="38" t="s">
        <v>234</v>
      </c>
      <c r="K13" s="78"/>
      <c r="L13" s="79"/>
    </row>
    <row r="14" spans="1:28" s="4" customFormat="1" ht="11.25">
      <c r="J14" s="37" t="s">
        <v>235</v>
      </c>
      <c r="K14" s="78"/>
      <c r="L14" s="79"/>
    </row>
    <row r="15" spans="1:28" s="4" customFormat="1" ht="11.25">
      <c r="J15" s="39" t="s">
        <v>236</v>
      </c>
      <c r="K15" s="82"/>
      <c r="L15" s="83"/>
    </row>
    <row r="17" spans="1:26" ht="38.25" customHeight="1">
      <c r="H17" s="84"/>
      <c r="I17" s="84"/>
      <c r="J17" s="84"/>
      <c r="K17" s="86"/>
    </row>
    <row r="18" spans="1:26">
      <c r="H18" s="85"/>
      <c r="I18" s="85"/>
      <c r="J18" s="44" t="s">
        <v>237</v>
      </c>
      <c r="K18" s="45" t="s">
        <v>238</v>
      </c>
    </row>
    <row r="19" spans="1:26">
      <c r="H19" s="42"/>
      <c r="I19" s="42"/>
      <c r="J19" s="42"/>
      <c r="K19" s="43"/>
    </row>
    <row r="21" spans="1:26" s="46" customFormat="1">
      <c r="A21" s="69" t="s">
        <v>239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</row>
    <row r="22" spans="1:26" s="46" customFormat="1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</row>
    <row r="24" spans="1:26">
      <c r="A24" s="4" t="s">
        <v>240</v>
      </c>
      <c r="B24" s="4"/>
      <c r="C24" s="4"/>
      <c r="D24" s="4"/>
      <c r="E24" s="4"/>
      <c r="F24" s="4"/>
      <c r="G24" s="4"/>
      <c r="H24" s="70">
        <f>(Source!O22+Source!X22+Source!Y22+Source!R22*167/100)/1000</f>
        <v>5932.5163492000011</v>
      </c>
      <c r="I24" s="70"/>
      <c r="J24" s="4" t="s">
        <v>177</v>
      </c>
      <c r="K24" s="4"/>
      <c r="L24" s="4"/>
    </row>
    <row r="25" spans="1:26">
      <c r="A25" s="4" t="s">
        <v>178</v>
      </c>
      <c r="B25" s="4"/>
      <c r="C25" s="4"/>
      <c r="D25" s="4"/>
      <c r="E25" s="14">
        <f>IF(AND(Source!P12&lt;&gt;0,Source!Q12&lt;&gt;0),DATE(Source!P12,Source!Q12,1),IF(Source!AF12=0,"",IF(Source!AN12=0,"",DATE(Source!AF12,Source!AN12,1))))</f>
        <v>41030</v>
      </c>
      <c r="F25" s="15">
        <f>IF(AND(Source!P12&lt;&gt;0,Source!Q12&lt;&gt;0),Source!P12,IF(Source!AF12=0,"",Source!AF12))</f>
        <v>2012</v>
      </c>
      <c r="G25" s="4" t="s">
        <v>179</v>
      </c>
    </row>
    <row r="27" spans="1:26">
      <c r="A27" s="73" t="s">
        <v>243</v>
      </c>
      <c r="B27" s="74"/>
      <c r="C27" s="47"/>
      <c r="D27" s="18"/>
      <c r="E27" s="18"/>
      <c r="F27" s="18"/>
      <c r="G27" s="17" t="s">
        <v>192</v>
      </c>
      <c r="H27" s="71" t="s">
        <v>196</v>
      </c>
      <c r="I27" s="72"/>
      <c r="J27" s="72"/>
      <c r="K27" s="17"/>
      <c r="L27" s="22" t="s">
        <v>206</v>
      </c>
      <c r="Z27">
        <v>-1</v>
      </c>
    </row>
    <row r="28" spans="1:26">
      <c r="A28" s="75" t="s">
        <v>181</v>
      </c>
      <c r="B28" s="75" t="s">
        <v>244</v>
      </c>
      <c r="C28" s="48" t="s">
        <v>182</v>
      </c>
      <c r="D28" s="19"/>
      <c r="E28" s="16" t="s">
        <v>187</v>
      </c>
      <c r="F28" s="16" t="s">
        <v>190</v>
      </c>
      <c r="G28" s="16" t="s">
        <v>193</v>
      </c>
      <c r="H28" s="17"/>
      <c r="I28" s="17" t="s">
        <v>199</v>
      </c>
      <c r="J28" s="17"/>
      <c r="K28" s="16" t="s">
        <v>204</v>
      </c>
      <c r="L28" s="20" t="s">
        <v>207</v>
      </c>
    </row>
    <row r="29" spans="1:26">
      <c r="A29" s="76"/>
      <c r="B29" s="76"/>
      <c r="C29" s="48" t="s">
        <v>183</v>
      </c>
      <c r="D29" s="16" t="s">
        <v>186</v>
      </c>
      <c r="E29" s="16" t="s">
        <v>188</v>
      </c>
      <c r="F29" s="16" t="s">
        <v>191</v>
      </c>
      <c r="G29" s="16" t="s">
        <v>194</v>
      </c>
      <c r="H29" s="16" t="s">
        <v>197</v>
      </c>
      <c r="I29" s="16" t="s">
        <v>200</v>
      </c>
      <c r="J29" s="16" t="s">
        <v>202</v>
      </c>
      <c r="K29" s="16" t="s">
        <v>205</v>
      </c>
      <c r="L29" s="21" t="s">
        <v>208</v>
      </c>
    </row>
    <row r="30" spans="1:26">
      <c r="A30" s="76"/>
      <c r="B30" s="76"/>
      <c r="C30" s="48" t="s">
        <v>184</v>
      </c>
      <c r="D30" s="19"/>
      <c r="E30" s="16" t="s">
        <v>189</v>
      </c>
      <c r="F30" s="19"/>
      <c r="G30" s="16" t="s">
        <v>195</v>
      </c>
      <c r="H30" s="16" t="s">
        <v>198</v>
      </c>
      <c r="I30" s="16" t="s">
        <v>201</v>
      </c>
      <c r="J30" s="16" t="s">
        <v>203</v>
      </c>
      <c r="K30" s="16" t="s">
        <v>195</v>
      </c>
      <c r="L30" s="20" t="s">
        <v>209</v>
      </c>
    </row>
    <row r="31" spans="1:26">
      <c r="A31" s="77"/>
      <c r="B31" s="77"/>
      <c r="C31" s="48" t="s">
        <v>185</v>
      </c>
      <c r="D31" s="19"/>
      <c r="E31" s="19"/>
      <c r="F31" s="19"/>
      <c r="G31" s="19"/>
      <c r="H31" s="16"/>
      <c r="I31" s="16"/>
      <c r="J31" s="16"/>
      <c r="K31" s="16"/>
      <c r="L31" s="21" t="s">
        <v>210</v>
      </c>
    </row>
    <row r="32" spans="1:26">
      <c r="A32" s="50">
        <v>1</v>
      </c>
      <c r="B32" s="50">
        <v>2</v>
      </c>
      <c r="C32" s="49">
        <v>3</v>
      </c>
      <c r="D32" s="49">
        <v>4</v>
      </c>
      <c r="E32" s="49">
        <v>5</v>
      </c>
      <c r="F32" s="49">
        <v>6</v>
      </c>
      <c r="G32" s="49">
        <v>7</v>
      </c>
      <c r="H32" s="49">
        <v>8</v>
      </c>
      <c r="I32" s="49">
        <v>9</v>
      </c>
      <c r="J32" s="49">
        <v>10</v>
      </c>
      <c r="K32" s="49">
        <v>11</v>
      </c>
      <c r="L32" s="51">
        <v>12</v>
      </c>
    </row>
    <row r="33" spans="1:26" ht="36">
      <c r="A33" s="52">
        <v>1</v>
      </c>
      <c r="B33" s="52" t="str">
        <f>Source!E24</f>
        <v>1</v>
      </c>
      <c r="C33" s="25" t="str">
        <f>Source!F24</f>
        <v>3.27-77-3</v>
      </c>
      <c r="D33" s="11" t="str">
        <f>Source!G24</f>
        <v>НАНЕСЕНИЕ ПОПЕРЕЧНОЙ ЛИНИИ ДОРОЖНОЙ РАЗМЕТКИ КРАСКОЙ</v>
      </c>
      <c r="E33" s="26" t="str">
        <f>Source!DW24</f>
        <v>м2</v>
      </c>
      <c r="F33" s="6">
        <f>ROUND(Source!I24,6)</f>
        <v>8804</v>
      </c>
      <c r="G33" s="6"/>
      <c r="H33" s="6"/>
      <c r="I33" s="6"/>
      <c r="J33" s="6"/>
      <c r="K33" s="6"/>
      <c r="L33" s="6"/>
      <c r="Z33">
        <v>1</v>
      </c>
    </row>
    <row r="34" spans="1:26">
      <c r="A34" s="6"/>
      <c r="B34" s="6"/>
      <c r="C34" s="6"/>
      <c r="D34" s="6" t="s">
        <v>211</v>
      </c>
      <c r="E34" s="6"/>
      <c r="F34" s="6"/>
      <c r="G34" s="13">
        <f>Source!AO24</f>
        <v>2.31</v>
      </c>
      <c r="H34" s="27" t="str">
        <f>Source!DG24</f>
        <v>*1,15</v>
      </c>
      <c r="I34" s="6">
        <f>Source!AV24</f>
        <v>1</v>
      </c>
      <c r="J34" s="6">
        <f>Source!BA24</f>
        <v>13.09</v>
      </c>
      <c r="K34" s="13">
        <f>Source!S24</f>
        <v>306146.64</v>
      </c>
      <c r="L34" s="6"/>
    </row>
    <row r="35" spans="1:26">
      <c r="A35" s="6"/>
      <c r="B35" s="6"/>
      <c r="C35" s="6"/>
      <c r="D35" s="6" t="s">
        <v>212</v>
      </c>
      <c r="E35" s="6"/>
      <c r="F35" s="6"/>
      <c r="G35" s="13">
        <f>Source!AM24</f>
        <v>37.229999999999997</v>
      </c>
      <c r="H35" s="27" t="str">
        <f>Source!DE24</f>
        <v>*1,25</v>
      </c>
      <c r="I35" s="6">
        <f>Source!AV24</f>
        <v>1</v>
      </c>
      <c r="J35" s="6">
        <f>Source!BB24</f>
        <v>2.09</v>
      </c>
      <c r="K35" s="13">
        <f>Source!Q24</f>
        <v>856306.75</v>
      </c>
      <c r="L35" s="6"/>
    </row>
    <row r="36" spans="1:26">
      <c r="A36" s="6"/>
      <c r="B36" s="6"/>
      <c r="C36" s="6"/>
      <c r="D36" s="6" t="s">
        <v>213</v>
      </c>
      <c r="E36" s="6"/>
      <c r="F36" s="6"/>
      <c r="G36" s="13">
        <f>Source!AN24</f>
        <v>1.63</v>
      </c>
      <c r="H36" s="27" t="str">
        <f>Source!DF24</f>
        <v>*1,25</v>
      </c>
      <c r="I36" s="6">
        <f>Source!AV24</f>
        <v>1</v>
      </c>
      <c r="J36" s="6">
        <f>Source!BS24</f>
        <v>13.09</v>
      </c>
      <c r="K36" s="28" t="str">
        <f>CONCATENATE("(",TEXT(+Source!R24,"0,00"),")")</f>
        <v>(234810,38)</v>
      </c>
      <c r="L36" s="6"/>
    </row>
    <row r="37" spans="1:26" ht="24">
      <c r="A37" s="52">
        <v>2</v>
      </c>
      <c r="B37" s="52" t="str">
        <f>Source!E25</f>
        <v>1,1</v>
      </c>
      <c r="C37" s="25" t="str">
        <f>Source!F25</f>
        <v>1.1-1-2254</v>
      </c>
      <c r="D37" s="11" t="str">
        <f>Source!G25</f>
        <v>КРАСКА ДОРОЖНАЯ (ЭМАЛЬ) БЕЛАЯ, МАРКА "АК-505"</v>
      </c>
      <c r="E37" s="26" t="str">
        <f>Source!DW25</f>
        <v>т</v>
      </c>
      <c r="F37" s="6">
        <f>ROUND(Source!I25,6)</f>
        <v>4.6603529999999997</v>
      </c>
      <c r="G37" s="13">
        <f>IF(Source!AL25=0,Source!AK25,Source!AL25)</f>
        <v>32831.15</v>
      </c>
      <c r="H37" s="27" t="str">
        <f>Source!DD25</f>
        <v/>
      </c>
      <c r="I37" s="6">
        <f>Source!AW25</f>
        <v>1</v>
      </c>
      <c r="J37" s="6">
        <f>Source!BC25</f>
        <v>2.06</v>
      </c>
      <c r="K37" s="13">
        <f>Source!O25</f>
        <v>315189.75</v>
      </c>
      <c r="L37" s="6"/>
      <c r="P37">
        <f>IF( Source!BI25 = 1, (0), 0 )</f>
        <v>0</v>
      </c>
      <c r="Q37">
        <f>IF( Source!BI25 = 2, (0), 0 )</f>
        <v>0</v>
      </c>
      <c r="R37">
        <f>IF( Source!BI25 = 3, (0), 0 )</f>
        <v>0</v>
      </c>
      <c r="S37">
        <f>IF( Source!BI25 = 4, (0), 0 )</f>
        <v>0</v>
      </c>
      <c r="V37">
        <f>IF( Source!BI25 = 1, Source!O25 + Source!X25 + Source!Y25, 0 )</f>
        <v>315189.75</v>
      </c>
      <c r="W37">
        <f>IF( Source!BI25 = 2, Source!O25 + Source!X25 + Source!Y25, 0 )</f>
        <v>0</v>
      </c>
      <c r="X37">
        <f>IF( Source!BI25 = 3, Source!O25 + Source!X25 + Source!Y25, 0 )</f>
        <v>0</v>
      </c>
      <c r="Y37">
        <f>IF( Source!BI25 = 4, Source!O25 + Source!X25 + Source!Y25, 0 )</f>
        <v>0</v>
      </c>
      <c r="Z37">
        <v>2</v>
      </c>
    </row>
    <row r="38" spans="1:26">
      <c r="A38" s="6"/>
      <c r="B38" s="6"/>
      <c r="C38" s="6"/>
      <c r="D38" s="6" t="s">
        <v>214</v>
      </c>
      <c r="E38" s="6" t="s">
        <v>215</v>
      </c>
      <c r="F38" s="6">
        <f>Source!AT24</f>
        <v>120</v>
      </c>
      <c r="G38" s="6"/>
      <c r="H38" s="6"/>
      <c r="I38" s="6"/>
      <c r="J38" s="6"/>
      <c r="K38" s="13">
        <f>Source!X24</f>
        <v>367375.97</v>
      </c>
      <c r="L38" s="6"/>
    </row>
    <row r="39" spans="1:26">
      <c r="A39" s="6"/>
      <c r="B39" s="6"/>
      <c r="C39" s="6"/>
      <c r="D39" s="6" t="s">
        <v>216</v>
      </c>
      <c r="E39" s="6" t="s">
        <v>215</v>
      </c>
      <c r="F39" s="6">
        <f>Source!AU24</f>
        <v>42</v>
      </c>
      <c r="G39" s="6"/>
      <c r="H39" s="6"/>
      <c r="I39" s="6"/>
      <c r="J39" s="6"/>
      <c r="K39" s="13">
        <f>Source!Y24</f>
        <v>128581.59</v>
      </c>
      <c r="L39" s="6"/>
    </row>
    <row r="40" spans="1:26">
      <c r="A40" s="6"/>
      <c r="B40" s="6"/>
      <c r="C40" s="6"/>
      <c r="D40" s="6" t="s">
        <v>217</v>
      </c>
      <c r="E40" s="6" t="s">
        <v>215</v>
      </c>
      <c r="F40" s="6">
        <v>167</v>
      </c>
      <c r="G40" s="6"/>
      <c r="H40" s="6"/>
      <c r="I40" s="6"/>
      <c r="J40" s="6"/>
      <c r="K40" s="13">
        <f>ROUND(Source!R24*F40/100, 2)</f>
        <v>392133.33</v>
      </c>
      <c r="L40" s="6"/>
    </row>
    <row r="41" spans="1:26">
      <c r="A41" s="29"/>
      <c r="B41" s="29"/>
      <c r="C41" s="29"/>
      <c r="D41" s="29" t="s">
        <v>218</v>
      </c>
      <c r="E41" s="29" t="s">
        <v>219</v>
      </c>
      <c r="F41" s="29">
        <f>Source!AQ24</f>
        <v>0.2</v>
      </c>
      <c r="G41" s="29"/>
      <c r="H41" s="30" t="str">
        <f>Source!DI24</f>
        <v>*1,15</v>
      </c>
      <c r="I41" s="29">
        <f>Source!AV24</f>
        <v>1</v>
      </c>
      <c r="J41" s="29"/>
      <c r="K41" s="29"/>
      <c r="L41" s="31">
        <f>Source!U24</f>
        <v>2024.9199999999998</v>
      </c>
    </row>
    <row r="42" spans="1:26">
      <c r="J42" s="64">
        <f>Source!S24+Source!Q24+SUM(K37:K40)</f>
        <v>2365734.0300000003</v>
      </c>
      <c r="K42" s="64"/>
      <c r="L42" s="32">
        <f>IF(Source!I24&lt;&gt;0,ROUND(J42/Source!I24,2),0)</f>
        <v>268.70999999999998</v>
      </c>
      <c r="O42" s="12">
        <f>J42</f>
        <v>2365734.0300000003</v>
      </c>
      <c r="P42">
        <f>ROUND(IF( Source!BI24 = 1,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515715.09</v>
      </c>
      <c r="Q42">
        <f>ROUND(IF( Source!BI24 = 2,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R42">
        <f>ROUND(IF( Source!BI24 = 3,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S42">
        <f>ROUND(IF( Source!BI24 = 4,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V42">
        <f>IF( Source!BI24 = 1, Source!O24 + Source!X24 + Source!Y24 + Source!R24*167/100, 0 )</f>
        <v>2050544.2845999999</v>
      </c>
      <c r="W42">
        <f>IF( Source!BI24 = 2, Source!O24 + Source!X24 + Source!Y24 + Source!R24*167/100, 0 )</f>
        <v>0</v>
      </c>
      <c r="X42">
        <f>IF( Source!BI24 = 3, Source!O24 + Source!X24 + Source!Y24 + Source!R24*167/100, 0 )</f>
        <v>0</v>
      </c>
      <c r="Y42">
        <f>IF( Source!BI24 = 4, Source!O24 + Source!X24 + Source!Y24 + Source!R24*167/100, 0 )</f>
        <v>0</v>
      </c>
    </row>
    <row r="43" spans="1:26" ht="36">
      <c r="A43" s="52">
        <v>3</v>
      </c>
      <c r="B43" s="52" t="str">
        <f>Source!E29</f>
        <v>2</v>
      </c>
      <c r="C43" s="25" t="str">
        <f>Source!F29</f>
        <v>3.27-77-3</v>
      </c>
      <c r="D43" s="11" t="str">
        <f>Source!G29</f>
        <v>НАНЕСЕНИЕ ПОПЕРЕЧНОЙ ЛИНИИ ДОРОЖНОЙ РАЗМЕТКИ КРАСКОЙ</v>
      </c>
      <c r="E43" s="26" t="str">
        <f>Source!DW29</f>
        <v>м2</v>
      </c>
      <c r="F43" s="6">
        <f>ROUND(Source!I29,6)</f>
        <v>8804</v>
      </c>
      <c r="G43" s="6"/>
      <c r="H43" s="6"/>
      <c r="I43" s="6"/>
      <c r="J43" s="6"/>
      <c r="K43" s="6"/>
      <c r="L43" s="6"/>
      <c r="Z43">
        <v>3</v>
      </c>
    </row>
    <row r="44" spans="1:26">
      <c r="A44" s="6"/>
      <c r="B44" s="6"/>
      <c r="C44" s="6"/>
      <c r="D44" s="6" t="s">
        <v>211</v>
      </c>
      <c r="E44" s="6"/>
      <c r="F44" s="6"/>
      <c r="G44" s="13">
        <f>Source!AO29</f>
        <v>2.31</v>
      </c>
      <c r="H44" s="27" t="str">
        <f>Source!DG29</f>
        <v>*1,15</v>
      </c>
      <c r="I44" s="6">
        <f>Source!AV29</f>
        <v>1</v>
      </c>
      <c r="J44" s="6">
        <f>Source!BA29</f>
        <v>13.09</v>
      </c>
      <c r="K44" s="13">
        <f>Source!S29</f>
        <v>306146.64</v>
      </c>
      <c r="L44" s="6"/>
    </row>
    <row r="45" spans="1:26">
      <c r="A45" s="6"/>
      <c r="B45" s="6"/>
      <c r="C45" s="6"/>
      <c r="D45" s="6" t="s">
        <v>212</v>
      </c>
      <c r="E45" s="6"/>
      <c r="F45" s="6"/>
      <c r="G45" s="13">
        <f>Source!AM29</f>
        <v>37.229999999999997</v>
      </c>
      <c r="H45" s="27" t="str">
        <f>Source!DE29</f>
        <v>*1,25</v>
      </c>
      <c r="I45" s="6">
        <f>Source!AV29</f>
        <v>1</v>
      </c>
      <c r="J45" s="6">
        <f>Source!BB29</f>
        <v>2.09</v>
      </c>
      <c r="K45" s="13">
        <f>Source!Q29</f>
        <v>856306.75</v>
      </c>
      <c r="L45" s="6"/>
    </row>
    <row r="46" spans="1:26">
      <c r="A46" s="6"/>
      <c r="B46" s="6"/>
      <c r="C46" s="6"/>
      <c r="D46" s="6" t="s">
        <v>213</v>
      </c>
      <c r="E46" s="6"/>
      <c r="F46" s="6"/>
      <c r="G46" s="13">
        <f>Source!AN29</f>
        <v>1.63</v>
      </c>
      <c r="H46" s="27" t="str">
        <f>Source!DF29</f>
        <v>*1,25</v>
      </c>
      <c r="I46" s="6">
        <f>Source!AV29</f>
        <v>1</v>
      </c>
      <c r="J46" s="6">
        <f>Source!BS29</f>
        <v>13.09</v>
      </c>
      <c r="K46" s="28" t="str">
        <f>CONCATENATE("(",TEXT(+Source!R29,"0,00"),")")</f>
        <v>(234810,38)</v>
      </c>
      <c r="L46" s="6"/>
    </row>
    <row r="47" spans="1:26" ht="24">
      <c r="A47" s="52">
        <v>4</v>
      </c>
      <c r="B47" s="52" t="str">
        <f>Source!E30</f>
        <v>2,1</v>
      </c>
      <c r="C47" s="25" t="str">
        <f>Source!F30</f>
        <v>1.1-1-2257</v>
      </c>
      <c r="D47" s="11" t="str">
        <f>Source!G30</f>
        <v>ПРИМ.- КРАСКА ДОРОЖНАЯ КРАСНАЯ, МАРКА "АК-505"</v>
      </c>
      <c r="E47" s="26" t="str">
        <f>Source!DW30</f>
        <v>т</v>
      </c>
      <c r="F47" s="6">
        <f>ROUND(Source!I30,6)</f>
        <v>4.6603529999999997</v>
      </c>
      <c r="G47" s="13">
        <f>IF(Source!AL30=0,Source!AK30,Source!AL30)</f>
        <v>43541.15</v>
      </c>
      <c r="H47" s="27" t="str">
        <f>Source!DD30</f>
        <v/>
      </c>
      <c r="I47" s="6">
        <f>Source!AW30</f>
        <v>1</v>
      </c>
      <c r="J47" s="6">
        <f>Source!BC30</f>
        <v>2.0099999999999998</v>
      </c>
      <c r="K47" s="13">
        <f>Source!O30</f>
        <v>407863.47</v>
      </c>
      <c r="L47" s="6"/>
      <c r="P47">
        <f>IF( Source!BI30 = 1, (0), 0 )</f>
        <v>0</v>
      </c>
      <c r="Q47">
        <f>IF( Source!BI30 = 2, (0), 0 )</f>
        <v>0</v>
      </c>
      <c r="R47">
        <f>IF( Source!BI30 = 3, (0), 0 )</f>
        <v>0</v>
      </c>
      <c r="S47">
        <f>IF( Source!BI30 = 4, (0), 0 )</f>
        <v>0</v>
      </c>
      <c r="V47">
        <f>IF( Source!BI30 = 1, Source!O30 + Source!X30 + Source!Y30, 0 )</f>
        <v>407863.47</v>
      </c>
      <c r="W47">
        <f>IF( Source!BI30 = 2, Source!O30 + Source!X30 + Source!Y30, 0 )</f>
        <v>0</v>
      </c>
      <c r="X47">
        <f>IF( Source!BI30 = 3, Source!O30 + Source!X30 + Source!Y30, 0 )</f>
        <v>0</v>
      </c>
      <c r="Y47">
        <f>IF( Source!BI30 = 4, Source!O30 + Source!X30 + Source!Y30, 0 )</f>
        <v>0</v>
      </c>
      <c r="Z47">
        <v>4</v>
      </c>
    </row>
    <row r="48" spans="1:26">
      <c r="A48" s="6"/>
      <c r="B48" s="6"/>
      <c r="C48" s="6"/>
      <c r="D48" s="6" t="s">
        <v>214</v>
      </c>
      <c r="E48" s="6" t="s">
        <v>215</v>
      </c>
      <c r="F48" s="6">
        <f>Source!AT29</f>
        <v>120</v>
      </c>
      <c r="G48" s="6"/>
      <c r="H48" s="6"/>
      <c r="I48" s="6"/>
      <c r="J48" s="6"/>
      <c r="K48" s="13">
        <f>Source!X29</f>
        <v>367375.97</v>
      </c>
      <c r="L48" s="6"/>
    </row>
    <row r="49" spans="1:26">
      <c r="A49" s="6"/>
      <c r="B49" s="6"/>
      <c r="C49" s="6"/>
      <c r="D49" s="6" t="s">
        <v>216</v>
      </c>
      <c r="E49" s="6" t="s">
        <v>215</v>
      </c>
      <c r="F49" s="6">
        <f>Source!AU29</f>
        <v>42</v>
      </c>
      <c r="G49" s="6"/>
      <c r="H49" s="6"/>
      <c r="I49" s="6"/>
      <c r="J49" s="6"/>
      <c r="K49" s="13">
        <f>Source!Y29</f>
        <v>128581.59</v>
      </c>
      <c r="L49" s="6"/>
    </row>
    <row r="50" spans="1:26">
      <c r="A50" s="6"/>
      <c r="B50" s="6"/>
      <c r="C50" s="6"/>
      <c r="D50" s="6" t="s">
        <v>217</v>
      </c>
      <c r="E50" s="6" t="s">
        <v>215</v>
      </c>
      <c r="F50" s="6">
        <v>167</v>
      </c>
      <c r="G50" s="6"/>
      <c r="H50" s="6"/>
      <c r="I50" s="6"/>
      <c r="J50" s="6"/>
      <c r="K50" s="13">
        <f>ROUND(Source!R29*F50/100, 2)</f>
        <v>392133.33</v>
      </c>
      <c r="L50" s="6"/>
    </row>
    <row r="51" spans="1:26">
      <c r="A51" s="29"/>
      <c r="B51" s="29"/>
      <c r="C51" s="29"/>
      <c r="D51" s="29" t="s">
        <v>218</v>
      </c>
      <c r="E51" s="29" t="s">
        <v>219</v>
      </c>
      <c r="F51" s="29">
        <f>Source!AQ29</f>
        <v>0.2</v>
      </c>
      <c r="G51" s="29"/>
      <c r="H51" s="30" t="str">
        <f>Source!DI29</f>
        <v>*1,15</v>
      </c>
      <c r="I51" s="29">
        <f>Source!AV29</f>
        <v>1</v>
      </c>
      <c r="J51" s="29"/>
      <c r="K51" s="29"/>
      <c r="L51" s="31">
        <f>Source!U29</f>
        <v>2024.9199999999998</v>
      </c>
    </row>
    <row r="52" spans="1:26">
      <c r="J52" s="64">
        <f>Source!S29+Source!Q29+SUM(K47:K50)</f>
        <v>2458407.75</v>
      </c>
      <c r="K52" s="64"/>
      <c r="L52" s="32">
        <f>IF(Source!I29&lt;&gt;0,ROUND(J52/Source!I29,2),0)</f>
        <v>279.24</v>
      </c>
      <c r="O52" s="12">
        <f>J52</f>
        <v>2458407.75</v>
      </c>
      <c r="P52">
        <f>ROUND(IF( Source!BI29 = 1,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515715.09</v>
      </c>
      <c r="Q52">
        <f>ROUND(IF( Source!BI29 = 2,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R52">
        <f>ROUND(IF( Source!BI29 = 3,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S52">
        <f>ROUND(IF( Source!BI29 = 4,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V52">
        <f>IF( Source!BI29 = 1, Source!O29 + Source!X29 + Source!Y29 + Source!R29*167/100, 0 )</f>
        <v>2050544.2845999999</v>
      </c>
      <c r="W52">
        <f>IF( Source!BI29 = 2, Source!O29 + Source!X29 + Source!Y29 + Source!R29*167/100, 0 )</f>
        <v>0</v>
      </c>
      <c r="X52">
        <f>IF( Source!BI29 = 3, Source!O29 + Source!X29 + Source!Y29 + Source!R29*167/100, 0 )</f>
        <v>0</v>
      </c>
      <c r="Y52">
        <f>IF( Source!BI29 = 4, Source!O29 + Source!X29 + Source!Y29 + Source!R29*167/100, 0 )</f>
        <v>0</v>
      </c>
    </row>
    <row r="53" spans="1:26" ht="36">
      <c r="A53" s="52">
        <v>5</v>
      </c>
      <c r="B53" s="52" t="str">
        <f>Source!E37</f>
        <v>3</v>
      </c>
      <c r="C53" s="25" t="str">
        <f>Source!F37</f>
        <v>6.51-4-1</v>
      </c>
      <c r="D53" s="11" t="str">
        <f>Source!G37</f>
        <v>РЫТЬЕ ЯМ ДЛЯ УСТАНОВКИ СТОЕК И СТОЛБОВ ГЛУБИНА, М: 0,4</v>
      </c>
      <c r="E53" s="26" t="str">
        <f>Source!DW37</f>
        <v>100 ям</v>
      </c>
      <c r="F53" s="6">
        <f>ROUND(Source!I37,6)</f>
        <v>0</v>
      </c>
      <c r="G53" s="6"/>
      <c r="H53" s="6"/>
      <c r="I53" s="6"/>
      <c r="J53" s="6"/>
      <c r="K53" s="6"/>
      <c r="L53" s="6"/>
      <c r="Z53">
        <v>5</v>
      </c>
    </row>
    <row r="54" spans="1:26">
      <c r="A54" s="6"/>
      <c r="B54" s="6"/>
      <c r="C54" s="6"/>
      <c r="D54" s="6" t="s">
        <v>211</v>
      </c>
      <c r="E54" s="6"/>
      <c r="F54" s="6"/>
      <c r="G54" s="13">
        <f>Source!AO37</f>
        <v>2735.2</v>
      </c>
      <c r="H54" s="27" t="str">
        <f>Source!DG37</f>
        <v/>
      </c>
      <c r="I54" s="6">
        <f>Source!AV37</f>
        <v>1.248</v>
      </c>
      <c r="J54" s="6">
        <f>Source!BA37</f>
        <v>13.09</v>
      </c>
      <c r="K54" s="13">
        <f>Source!S37</f>
        <v>0</v>
      </c>
      <c r="L54" s="6"/>
    </row>
    <row r="55" spans="1:26">
      <c r="A55" s="6"/>
      <c r="B55" s="6"/>
      <c r="C55" s="6"/>
      <c r="D55" s="6" t="s">
        <v>214</v>
      </c>
      <c r="E55" s="6" t="s">
        <v>215</v>
      </c>
      <c r="F55" s="6">
        <f>Source!AT37</f>
        <v>78</v>
      </c>
      <c r="G55" s="6"/>
      <c r="H55" s="6"/>
      <c r="I55" s="6"/>
      <c r="J55" s="6"/>
      <c r="K55" s="13">
        <f>Source!X37</f>
        <v>0</v>
      </c>
      <c r="L55" s="6"/>
    </row>
    <row r="56" spans="1:26">
      <c r="A56" s="6"/>
      <c r="B56" s="6"/>
      <c r="C56" s="6"/>
      <c r="D56" s="6" t="s">
        <v>216</v>
      </c>
      <c r="E56" s="6" t="s">
        <v>215</v>
      </c>
      <c r="F56" s="6">
        <f>Source!AU37</f>
        <v>42</v>
      </c>
      <c r="G56" s="6"/>
      <c r="H56" s="6"/>
      <c r="I56" s="6"/>
      <c r="J56" s="6"/>
      <c r="K56" s="13">
        <f>Source!Y37</f>
        <v>0</v>
      </c>
      <c r="L56" s="6"/>
    </row>
    <row r="57" spans="1:26">
      <c r="A57" s="29"/>
      <c r="B57" s="29"/>
      <c r="C57" s="29"/>
      <c r="D57" s="29" t="s">
        <v>218</v>
      </c>
      <c r="E57" s="29" t="s">
        <v>219</v>
      </c>
      <c r="F57" s="29">
        <f>Source!AQ37</f>
        <v>260</v>
      </c>
      <c r="G57" s="29"/>
      <c r="H57" s="30" t="str">
        <f>Source!DI37</f>
        <v/>
      </c>
      <c r="I57" s="29">
        <f>Source!AV37</f>
        <v>1.248</v>
      </c>
      <c r="J57" s="29"/>
      <c r="K57" s="29"/>
      <c r="L57" s="31">
        <f>Source!U37</f>
        <v>0</v>
      </c>
    </row>
    <row r="58" spans="1:26">
      <c r="J58" s="64">
        <f>Source!S37+Source!Q37+SUM(K55:K56)</f>
        <v>0</v>
      </c>
      <c r="K58" s="64"/>
      <c r="L58" s="32">
        <f>IF(Source!I37&lt;&gt;0,ROUND(J58/Source!I37,2),0)</f>
        <v>0</v>
      </c>
      <c r="O58" s="12">
        <f>J58</f>
        <v>0</v>
      </c>
      <c r="P58">
        <f>ROUND(IF( Source!BI37 = 1,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Q58">
        <f>ROUND(IF( Source!BI37 = 2,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R58">
        <f>ROUND(IF( Source!BI37 = 3,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S58">
        <f>ROUND(IF( Source!BI37 = 4,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V58">
        <f>IF( Source!BI37 = 1, Source!O37 + Source!X37 + Source!Y37 + Source!R37*167/100, 0 )</f>
        <v>0</v>
      </c>
      <c r="W58">
        <f>IF( Source!BI37 = 2, Source!O37 + Source!X37 + Source!Y37 + Source!R37*167/100, 0 )</f>
        <v>0</v>
      </c>
      <c r="X58">
        <f>IF( Source!BI37 = 3, Source!O37 + Source!X37 + Source!Y37 + Source!R37*167/100, 0 )</f>
        <v>0</v>
      </c>
      <c r="Y58">
        <f>IF( Source!BI37 = 4, Source!O37 + Source!X37 + Source!Y37 + Source!R37*167/100, 0 )</f>
        <v>0</v>
      </c>
    </row>
    <row r="59" spans="1:26" ht="24">
      <c r="A59" s="52">
        <v>6</v>
      </c>
      <c r="B59" s="52" t="str">
        <f>Source!E38</f>
        <v>4</v>
      </c>
      <c r="C59" s="25" t="str">
        <f>Source!F38</f>
        <v>3.27-71-1</v>
      </c>
      <c r="D59" s="11" t="str">
        <f>Source!G38</f>
        <v>УСТАНОВКА ДОРОЖНЫХ ЗНАКОВ НА МЕТАЛЛИЧЕСКИХ СТОЙКАХ</v>
      </c>
      <c r="E59" s="26" t="str">
        <f>Source!DW38</f>
        <v>100 шт.</v>
      </c>
      <c r="F59" s="6">
        <f>ROUND(Source!I38,6)</f>
        <v>2.46</v>
      </c>
      <c r="G59" s="6"/>
      <c r="H59" s="6"/>
      <c r="I59" s="6"/>
      <c r="J59" s="6"/>
      <c r="K59" s="6"/>
      <c r="L59" s="6"/>
      <c r="Z59">
        <v>6</v>
      </c>
    </row>
    <row r="60" spans="1:26">
      <c r="A60" s="6"/>
      <c r="B60" s="6"/>
      <c r="C60" s="6"/>
      <c r="D60" s="6" t="s">
        <v>211</v>
      </c>
      <c r="E60" s="6"/>
      <c r="F60" s="6"/>
      <c r="G60" s="13">
        <f>Source!AO38</f>
        <v>3330.07</v>
      </c>
      <c r="H60" s="27" t="str">
        <f>Source!DG38</f>
        <v/>
      </c>
      <c r="I60" s="6">
        <f>Source!AV38</f>
        <v>1.0469999999999999</v>
      </c>
      <c r="J60" s="6">
        <f>Source!BA38</f>
        <v>13.09</v>
      </c>
      <c r="K60" s="13">
        <f>Source!S38</f>
        <v>112272.86</v>
      </c>
      <c r="L60" s="6"/>
    </row>
    <row r="61" spans="1:26">
      <c r="A61" s="6"/>
      <c r="B61" s="6"/>
      <c r="C61" s="6"/>
      <c r="D61" s="6" t="s">
        <v>220</v>
      </c>
      <c r="E61" s="6"/>
      <c r="F61" s="6"/>
      <c r="G61" s="13">
        <f>Source!AL38</f>
        <v>1181.68</v>
      </c>
      <c r="H61" s="6" t="str">
        <f>Source!DD38</f>
        <v/>
      </c>
      <c r="I61" s="6">
        <f>Source!AW38</f>
        <v>1</v>
      </c>
      <c r="J61" s="6">
        <f>Source!BC38</f>
        <v>2.93</v>
      </c>
      <c r="K61" s="13">
        <f>Source!P38</f>
        <v>8517.31</v>
      </c>
      <c r="L61" s="6"/>
    </row>
    <row r="62" spans="1:26" ht="36">
      <c r="A62" s="52">
        <v>7</v>
      </c>
      <c r="B62" s="52" t="str">
        <f>Source!E39</f>
        <v>4,1</v>
      </c>
      <c r="C62" s="25" t="str">
        <f>Source!F39</f>
        <v>1.7-13-100</v>
      </c>
      <c r="D62" s="11" t="str">
        <f>Source!G39</f>
        <v>СТОЙКИ ИЗ ОЦИНКОВАННОЙ СТАЛИ, ДИАМЕТР 76 ММ, ДЛИНА 3 М</v>
      </c>
      <c r="E62" s="26" t="str">
        <f>Source!DW39</f>
        <v>шт.</v>
      </c>
      <c r="F62" s="6">
        <f>ROUND(Source!I39,6)</f>
        <v>246</v>
      </c>
      <c r="G62" s="13">
        <f>IF(Source!AL39=0,Source!AK39,Source!AL39)</f>
        <v>574.45000000000005</v>
      </c>
      <c r="H62" s="27" t="str">
        <f>Source!DD39</f>
        <v/>
      </c>
      <c r="I62" s="6">
        <f>Source!AW39</f>
        <v>1</v>
      </c>
      <c r="J62" s="6">
        <f>Source!BC39</f>
        <v>3.04</v>
      </c>
      <c r="K62" s="13">
        <f>Source!O39</f>
        <v>429596.69</v>
      </c>
      <c r="L62" s="6"/>
      <c r="P62">
        <f>IF( Source!BI39 = 1, (0), 0 )</f>
        <v>0</v>
      </c>
      <c r="Q62">
        <f>IF( Source!BI39 = 2, (0), 0 )</f>
        <v>0</v>
      </c>
      <c r="R62">
        <f>IF( Source!BI39 = 3, (0), 0 )</f>
        <v>0</v>
      </c>
      <c r="S62">
        <f>IF( Source!BI39 = 4, (0), 0 )</f>
        <v>0</v>
      </c>
      <c r="V62">
        <f>IF( Source!BI39 = 1, Source!O39 + Source!X39 + Source!Y39, 0 )</f>
        <v>429596.69</v>
      </c>
      <c r="W62">
        <f>IF( Source!BI39 = 2, Source!O39 + Source!X39 + Source!Y39, 0 )</f>
        <v>0</v>
      </c>
      <c r="X62">
        <f>IF( Source!BI39 = 3, Source!O39 + Source!X39 + Source!Y39, 0 )</f>
        <v>0</v>
      </c>
      <c r="Y62">
        <f>IF( Source!BI39 = 4, Source!O39 + Source!X39 + Source!Y39, 0 )</f>
        <v>0</v>
      </c>
      <c r="Z62">
        <v>7</v>
      </c>
    </row>
    <row r="63" spans="1:26" ht="60">
      <c r="A63" s="52">
        <v>8</v>
      </c>
      <c r="B63" s="52" t="str">
        <f>Source!E40</f>
        <v>4,2</v>
      </c>
      <c r="C63" s="25" t="str">
        <f>Source!F40</f>
        <v>1.7-13-4</v>
      </c>
      <c r="D63" s="11" t="str">
        <f>Source!G40</f>
        <v>ЗНАКИ ИЗ ТОНКОЛИСТОВОЙ ОЦИНКОВАННОЙ СТАЛИ СО СВЕТОВОЗВРАЩАЮЩЕЙ ПЛЕНКОЙ, КРУГЛОЙ ФОРМЫ, ДИАМЕТР 600 ММ</v>
      </c>
      <c r="E63" s="26" t="str">
        <f>Source!DW40</f>
        <v>шт.</v>
      </c>
      <c r="F63" s="6">
        <f>ROUND(Source!I40,6)</f>
        <v>246</v>
      </c>
      <c r="G63" s="13">
        <f>IF(Source!AL40=0,Source!AK40,Source!AL40)</f>
        <v>479.07</v>
      </c>
      <c r="H63" s="27" t="str">
        <f>Source!DD40</f>
        <v/>
      </c>
      <c r="I63" s="6">
        <f>Source!AW40</f>
        <v>1</v>
      </c>
      <c r="J63" s="6">
        <f>Source!BC40</f>
        <v>1.58</v>
      </c>
      <c r="K63" s="13">
        <f>Source!O40</f>
        <v>186204.93</v>
      </c>
      <c r="L63" s="6"/>
      <c r="P63">
        <f>IF( Source!BI40 = 1, (0), 0 )</f>
        <v>0</v>
      </c>
      <c r="Q63">
        <f>IF( Source!BI40 = 2, (0), 0 )</f>
        <v>0</v>
      </c>
      <c r="R63">
        <f>IF( Source!BI40 = 3, (0), 0 )</f>
        <v>0</v>
      </c>
      <c r="S63">
        <f>IF( Source!BI40 = 4, (0), 0 )</f>
        <v>0</v>
      </c>
      <c r="V63">
        <f>IF( Source!BI40 = 1, Source!O40 + Source!X40 + Source!Y40, 0 )</f>
        <v>186204.93</v>
      </c>
      <c r="W63">
        <f>IF( Source!BI40 = 2, Source!O40 + Source!X40 + Source!Y40, 0 )</f>
        <v>0</v>
      </c>
      <c r="X63">
        <f>IF( Source!BI40 = 3, Source!O40 + Source!X40 + Source!Y40, 0 )</f>
        <v>0</v>
      </c>
      <c r="Y63">
        <f>IF( Source!BI40 = 4, Source!O40 + Source!X40 + Source!Y40, 0 )</f>
        <v>0</v>
      </c>
      <c r="Z63">
        <v>8</v>
      </c>
    </row>
    <row r="64" spans="1:26" ht="72">
      <c r="A64" s="52">
        <v>9</v>
      </c>
      <c r="B64" s="52" t="str">
        <f>Source!E41</f>
        <v>4,3</v>
      </c>
      <c r="C64" s="25" t="str">
        <f>Source!F41</f>
        <v>1.7-13-16</v>
      </c>
      <c r="D64" s="11" t="str">
        <f>Source!G41</f>
        <v>ЗНАКИ ИЗ ТОНКОЛИСТОВОЙ ОЦИНКОВАННОЙ СТАЛИ СО СВЕТОВОЗВРАЩАЮЩЕЙ ПЛЕНКОЙ, ПРЯМОУГОЛЬНОЙ ФОРМЫ, СО СТОРОНАМИ РАЗМЕРОМ 300Х600 ММ</v>
      </c>
      <c r="E64" s="26" t="str">
        <f>Source!DW41</f>
        <v>шт.</v>
      </c>
      <c r="F64" s="6">
        <f>ROUND(Source!I41,6)</f>
        <v>492</v>
      </c>
      <c r="G64" s="13">
        <f>IF(Source!AL41=0,Source!AK41,Source!AL41)</f>
        <v>312.87</v>
      </c>
      <c r="H64" s="27" t="str">
        <f>Source!DD41</f>
        <v/>
      </c>
      <c r="I64" s="6">
        <f>Source!AW41</f>
        <v>1</v>
      </c>
      <c r="J64" s="6">
        <f>Source!BC41</f>
        <v>1.54</v>
      </c>
      <c r="K64" s="13">
        <f>Source!O41</f>
        <v>237055.34</v>
      </c>
      <c r="L64" s="6"/>
      <c r="P64">
        <f>IF( Source!BI41 = 1, (0), 0 )</f>
        <v>0</v>
      </c>
      <c r="Q64">
        <f>IF( Source!BI41 = 2, (0), 0 )</f>
        <v>0</v>
      </c>
      <c r="R64">
        <f>IF( Source!BI41 = 3, (0), 0 )</f>
        <v>0</v>
      </c>
      <c r="S64">
        <f>IF( Source!BI41 = 4, (0), 0 )</f>
        <v>0</v>
      </c>
      <c r="V64">
        <f>IF( Source!BI41 = 1, Source!O41 + Source!X41 + Source!Y41, 0 )</f>
        <v>237055.34</v>
      </c>
      <c r="W64">
        <f>IF( Source!BI41 = 2, Source!O41 + Source!X41 + Source!Y41, 0 )</f>
        <v>0</v>
      </c>
      <c r="X64">
        <f>IF( Source!BI41 = 3, Source!O41 + Source!X41 + Source!Y41, 0 )</f>
        <v>0</v>
      </c>
      <c r="Y64">
        <f>IF( Source!BI41 = 4, Source!O41 + Source!X41 + Source!Y41, 0 )</f>
        <v>0</v>
      </c>
      <c r="Z64">
        <v>9</v>
      </c>
    </row>
    <row r="65" spans="1:25">
      <c r="A65" s="6"/>
      <c r="B65" s="6"/>
      <c r="C65" s="6"/>
      <c r="D65" s="6" t="s">
        <v>214</v>
      </c>
      <c r="E65" s="6" t="s">
        <v>215</v>
      </c>
      <c r="F65" s="6">
        <f>Source!AT38</f>
        <v>78</v>
      </c>
      <c r="G65" s="6"/>
      <c r="H65" s="6"/>
      <c r="I65" s="6"/>
      <c r="J65" s="6"/>
      <c r="K65" s="13">
        <f>Source!X38</f>
        <v>87572.83</v>
      </c>
      <c r="L65" s="6"/>
    </row>
    <row r="66" spans="1:25">
      <c r="A66" s="6"/>
      <c r="B66" s="6"/>
      <c r="C66" s="6"/>
      <c r="D66" s="6" t="s">
        <v>216</v>
      </c>
      <c r="E66" s="6" t="s">
        <v>215</v>
      </c>
      <c r="F66" s="6">
        <f>Source!AU38</f>
        <v>42</v>
      </c>
      <c r="G66" s="6"/>
      <c r="H66" s="6"/>
      <c r="I66" s="6"/>
      <c r="J66" s="6"/>
      <c r="K66" s="13">
        <f>Source!Y38</f>
        <v>47154.6</v>
      </c>
      <c r="L66" s="6"/>
    </row>
    <row r="67" spans="1:25">
      <c r="A67" s="29"/>
      <c r="B67" s="29"/>
      <c r="C67" s="29"/>
      <c r="D67" s="29" t="s">
        <v>218</v>
      </c>
      <c r="E67" s="29" t="s">
        <v>219</v>
      </c>
      <c r="F67" s="29">
        <f>Source!AQ38</f>
        <v>297.86</v>
      </c>
      <c r="G67" s="29"/>
      <c r="H67" s="30" t="str">
        <f>Source!DI38</f>
        <v/>
      </c>
      <c r="I67" s="29">
        <f>Source!AV38</f>
        <v>1.0469999999999999</v>
      </c>
      <c r="J67" s="29"/>
      <c r="K67" s="29"/>
      <c r="L67" s="31">
        <f>Source!U38</f>
        <v>767.17417320000004</v>
      </c>
    </row>
    <row r="68" spans="1:25">
      <c r="J68" s="64"/>
      <c r="K68" s="64"/>
      <c r="L68" s="32"/>
      <c r="O68" s="12">
        <f>J68</f>
        <v>0</v>
      </c>
      <c r="P68">
        <f>ROUND(IF( Source!BI38 = 1,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25292.87</v>
      </c>
      <c r="Q68">
        <f>ROUND(IF( Source!BI38 = 2,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R68">
        <f>ROUND(IF( Source!BI38 = 3,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S68">
        <f>ROUND(IF( Source!BI38 = 4,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V68">
        <f>IF( Source!BI38 = 1, Source!O38 + Source!X38 + Source!Y38 + Source!R38*167/100, 0 )</f>
        <v>255517.6</v>
      </c>
      <c r="W68">
        <f>IF( Source!BI38 = 2, Source!O38 + Source!X38 + Source!Y38 + Source!R38*167/100, 0 )</f>
        <v>0</v>
      </c>
      <c r="X68">
        <f>IF( Source!BI38 = 3, Source!O38 + Source!X38 + Source!Y38 + Source!R38*167/100, 0 )</f>
        <v>0</v>
      </c>
      <c r="Y68">
        <f>IF( Source!BI38 = 4, Source!O38 + Source!X38 + Source!Y38 + Source!R38*167/100, 0 )</f>
        <v>0</v>
      </c>
    </row>
    <row r="70" spans="1:25" s="8" customFormat="1">
      <c r="D70" s="8" t="s">
        <v>221</v>
      </c>
      <c r="J70" s="62"/>
      <c r="K70" s="62"/>
    </row>
    <row r="72" spans="1:25">
      <c r="D72" s="33"/>
      <c r="E72" s="68"/>
      <c r="F72" s="68"/>
      <c r="G72" s="68"/>
      <c r="H72" s="68"/>
      <c r="I72" s="68"/>
      <c r="J72" s="68"/>
      <c r="K72" s="68"/>
      <c r="L72" s="68"/>
    </row>
    <row r="73" spans="1:25">
      <c r="D73" s="65"/>
      <c r="E73" s="65"/>
      <c r="F73" s="65"/>
      <c r="G73" s="65"/>
      <c r="H73" s="65"/>
      <c r="I73" s="65"/>
      <c r="J73" s="65"/>
      <c r="K73" s="66"/>
      <c r="L73" s="67"/>
    </row>
    <row r="74" spans="1:25">
      <c r="D74" s="65"/>
      <c r="E74" s="65"/>
      <c r="F74" s="65"/>
      <c r="G74" s="65"/>
      <c r="H74" s="65"/>
      <c r="I74" s="65"/>
      <c r="J74" s="65"/>
      <c r="K74" s="66"/>
      <c r="L74" s="67"/>
    </row>
    <row r="75" spans="1:25">
      <c r="D75" s="65"/>
      <c r="E75" s="65"/>
      <c r="F75" s="65"/>
      <c r="G75" s="65"/>
      <c r="H75" s="65"/>
      <c r="I75" s="65"/>
      <c r="J75" s="65"/>
      <c r="K75" s="66"/>
      <c r="L75" s="67"/>
    </row>
    <row r="76" spans="1:25" s="8" customFormat="1">
      <c r="J76" s="62"/>
      <c r="K76" s="62"/>
      <c r="L76" s="33"/>
    </row>
    <row r="80" spans="1:25">
      <c r="A80" t="s">
        <v>241</v>
      </c>
      <c r="D80" s="34" t="str">
        <f>IF(Source!AR12&lt;&gt;"",Source!AR12," ")</f>
        <v xml:space="preserve"> </v>
      </c>
      <c r="E80" s="34"/>
      <c r="F80" s="34"/>
      <c r="G80" s="34"/>
      <c r="H80" s="34"/>
      <c r="I80" t="str">
        <f>IF(Source!L12&lt;&gt;"",Source!L12," ")</f>
        <v xml:space="preserve"> </v>
      </c>
    </row>
    <row r="81" spans="1:9" s="35" customFormat="1" ht="11.25">
      <c r="D81" s="63" t="s">
        <v>223</v>
      </c>
      <c r="E81" s="63"/>
      <c r="F81" s="63"/>
      <c r="G81" s="63"/>
      <c r="H81" s="63"/>
    </row>
    <row r="83" spans="1:9">
      <c r="A83" t="s">
        <v>242</v>
      </c>
      <c r="D83" s="34" t="str">
        <f>IF(Source!AS12&lt;&gt;"",Source!AS12," ")</f>
        <v xml:space="preserve"> </v>
      </c>
      <c r="E83" s="34"/>
      <c r="F83" s="34"/>
      <c r="G83" s="34"/>
      <c r="H83" s="34"/>
      <c r="I83" t="str">
        <f>IF(Source!M12&lt;&gt;"",Source!M12," ")</f>
        <v xml:space="preserve"> </v>
      </c>
    </row>
    <row r="84" spans="1:9" s="35" customFormat="1" ht="11.25">
      <c r="D84" s="63" t="s">
        <v>223</v>
      </c>
      <c r="E84" s="63"/>
      <c r="F84" s="63"/>
      <c r="G84" s="63"/>
      <c r="H84" s="63"/>
    </row>
  </sheetData>
  <mergeCells count="46">
    <mergeCell ref="K10:L10"/>
    <mergeCell ref="D10:G10"/>
    <mergeCell ref="I1:L1"/>
    <mergeCell ref="I2:L2"/>
    <mergeCell ref="I3:L3"/>
    <mergeCell ref="K5:L5"/>
    <mergeCell ref="K6:L6"/>
    <mergeCell ref="K7:L7"/>
    <mergeCell ref="D7:G7"/>
    <mergeCell ref="K8:L8"/>
    <mergeCell ref="D8:G8"/>
    <mergeCell ref="K9:L9"/>
    <mergeCell ref="D9:G9"/>
    <mergeCell ref="A21:L21"/>
    <mergeCell ref="K11:L11"/>
    <mergeCell ref="D11:G11"/>
    <mergeCell ref="H12:J12"/>
    <mergeCell ref="K12:L12"/>
    <mergeCell ref="H13:I13"/>
    <mergeCell ref="K13:L13"/>
    <mergeCell ref="K14:L14"/>
    <mergeCell ref="K15:L15"/>
    <mergeCell ref="H17:H18"/>
    <mergeCell ref="I17:I18"/>
    <mergeCell ref="J17:K17"/>
    <mergeCell ref="A22:L22"/>
    <mergeCell ref="H24:I24"/>
    <mergeCell ref="H27:J27"/>
    <mergeCell ref="J42:K42"/>
    <mergeCell ref="J52:K52"/>
    <mergeCell ref="A27:B27"/>
    <mergeCell ref="A28:A31"/>
    <mergeCell ref="B28:B31"/>
    <mergeCell ref="J58:K58"/>
    <mergeCell ref="D75:J75"/>
    <mergeCell ref="K75:L75"/>
    <mergeCell ref="E72:L72"/>
    <mergeCell ref="D73:J73"/>
    <mergeCell ref="K73:L73"/>
    <mergeCell ref="D74:J74"/>
    <mergeCell ref="K74:L74"/>
    <mergeCell ref="J76:K76"/>
    <mergeCell ref="D81:H81"/>
    <mergeCell ref="D84:H84"/>
    <mergeCell ref="J68:K68"/>
    <mergeCell ref="J70:K70"/>
  </mergeCells>
  <pageMargins left="0.38740157480315002" right="0.196850393700787" top="0.39370078740157499" bottom="0.39370078740157499" header="0.11811023622047198" footer="0.11811023622047198"/>
  <pageSetup paperSize="9" scale="70" orientation="portrait" verticalDpi="0" r:id="rId1"/>
  <headerFooter>
    <oddHeader>&amp;L&amp;8ООО "САНСТРОЙ"  Доп. раб. место  FStS-0044242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A79"/>
  <sheetViews>
    <sheetView topLeftCell="A65" zoomScaleNormal="100" workbookViewId="0">
      <selection activeCell="F75" sqref="F75:G75"/>
    </sheetView>
  </sheetViews>
  <sheetFormatPr defaultRowHeight="12.75"/>
  <cols>
    <col min="1" max="1" width="4.7109375" customWidth="1"/>
    <col min="2" max="2" width="12.28515625" customWidth="1"/>
    <col min="3" max="3" width="30.7109375" customWidth="1"/>
    <col min="4" max="4" width="10.7109375" customWidth="1"/>
    <col min="7" max="8" width="9.7109375" customWidth="1"/>
    <col min="9" max="9" width="10.7109375" customWidth="1"/>
    <col min="10" max="10" width="9.7109375" customWidth="1"/>
    <col min="11" max="11" width="10.7109375" customWidth="1"/>
    <col min="12" max="26" width="0" hidden="1" customWidth="1"/>
    <col min="27" max="27" width="120.140625" hidden="1" customWidth="1"/>
    <col min="28" max="28" width="0" hidden="1" customWidth="1"/>
  </cols>
  <sheetData>
    <row r="1" spans="1:27" s="4" customFormat="1" ht="11.25">
      <c r="A1" s="4" t="str">
        <f>CONCATENATE(Source!B1, "     ТСН-2001 (© ОАО МЦЦС 'Мосстройцены', 2006)")</f>
        <v>Smeta.ru  (495) 974-1589     ТСН-2001 (© ОАО МЦЦС 'Мосстройцены', 2006)</v>
      </c>
    </row>
    <row r="2" spans="1:27" s="4" customFormat="1" ht="11.25">
      <c r="K2" s="4" t="s">
        <v>173</v>
      </c>
    </row>
    <row r="3" spans="1:27" s="5" customFormat="1" ht="18.75">
      <c r="A3" s="54"/>
      <c r="B3" s="54"/>
      <c r="C3" s="54"/>
      <c r="D3" s="54"/>
      <c r="F3" s="93" t="s">
        <v>174</v>
      </c>
      <c r="G3" s="93"/>
      <c r="H3" s="93"/>
      <c r="I3" s="93"/>
      <c r="J3" s="58"/>
      <c r="K3" s="58"/>
    </row>
    <row r="4" spans="1:27" ht="18.75">
      <c r="A4" s="55"/>
      <c r="B4" s="55"/>
      <c r="C4" s="55"/>
      <c r="D4" s="55"/>
      <c r="F4" s="93" t="s">
        <v>249</v>
      </c>
      <c r="G4" s="93"/>
      <c r="H4" s="93"/>
      <c r="I4" s="93"/>
      <c r="J4" s="58"/>
      <c r="K4" s="58"/>
    </row>
    <row r="5" spans="1:27" ht="18.75">
      <c r="A5" s="94"/>
      <c r="B5" s="94"/>
      <c r="C5" s="94"/>
      <c r="D5" s="94"/>
      <c r="E5" s="7"/>
      <c r="F5" s="93" t="s">
        <v>247</v>
      </c>
      <c r="G5" s="93"/>
      <c r="H5" s="93"/>
      <c r="I5" s="93"/>
      <c r="J5" s="93"/>
      <c r="K5" s="93"/>
    </row>
    <row r="6" spans="1:27" ht="18.75">
      <c r="A6" s="56"/>
      <c r="B6" s="56"/>
      <c r="C6" s="56"/>
      <c r="D6" s="56"/>
      <c r="E6" s="7"/>
      <c r="F6" s="58"/>
      <c r="G6" s="58"/>
      <c r="H6" s="58"/>
      <c r="I6" s="58"/>
      <c r="J6" s="58"/>
      <c r="K6" s="58"/>
    </row>
    <row r="7" spans="1:27" ht="18.75">
      <c r="A7" s="56"/>
      <c r="B7" s="56"/>
      <c r="C7" s="95"/>
      <c r="D7" s="95"/>
      <c r="E7" s="7"/>
      <c r="F7" s="59"/>
      <c r="G7" s="59"/>
      <c r="H7" s="93" t="s">
        <v>250</v>
      </c>
      <c r="I7" s="93"/>
      <c r="J7" s="93"/>
      <c r="K7" s="93"/>
    </row>
    <row r="8" spans="1:27" ht="18.75">
      <c r="A8" s="57"/>
      <c r="B8" s="57"/>
      <c r="C8" s="57"/>
      <c r="D8" s="57"/>
      <c r="E8" s="7"/>
      <c r="F8" s="58"/>
      <c r="G8" s="60" t="s">
        <v>246</v>
      </c>
      <c r="H8" s="58"/>
      <c r="I8" s="58"/>
      <c r="J8" s="58"/>
      <c r="K8" s="58"/>
    </row>
    <row r="9" spans="1:27" s="5" customFormat="1" ht="18.75">
      <c r="A9" s="54"/>
      <c r="B9" s="54"/>
      <c r="C9" s="54"/>
      <c r="D9" s="54"/>
      <c r="F9" s="58" t="s">
        <v>251</v>
      </c>
      <c r="G9" s="58"/>
      <c r="H9" s="58"/>
      <c r="I9" s="58"/>
      <c r="J9" s="58"/>
      <c r="K9" s="58"/>
    </row>
    <row r="13" spans="1:27" ht="18.7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AA13" s="9" t="str">
        <f>CONCATENATE( "ЛОКАЛЬНАЯ СМЕТА №  ", [1]Source!F20)</f>
        <v>ЛОКАЛЬНАЯ СМЕТА №  Новая локальная смета</v>
      </c>
    </row>
    <row r="14" spans="1:27" ht="37.5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AA14" s="10" t="str">
        <f>IF([1]Source!G12&lt;&gt;"",[1]Source!G12,[1]Source!F12)</f>
        <v>выполнение работ по разметке площадок для расстановки пожарной (специальной) техники - 43 шт.</v>
      </c>
    </row>
    <row r="15" spans="1:27">
      <c r="B15" s="91" t="s">
        <v>175</v>
      </c>
      <c r="C15" s="92"/>
      <c r="D15" s="92"/>
      <c r="E15" s="92"/>
      <c r="F15" s="92"/>
      <c r="G15" s="92"/>
      <c r="H15" s="92"/>
      <c r="I15" s="92"/>
      <c r="J15" s="92"/>
      <c r="K15" s="92"/>
    </row>
    <row r="17" spans="1:27">
      <c r="A17" s="65" t="str">
        <f>CONCATENATE( "Основание: чертежи № ", Source!J20)</f>
        <v xml:space="preserve">Основание: чертежи № 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AA17" s="11" t="str">
        <f>CONCATENATE( "Основание: чертежи № ", Source!J20)</f>
        <v xml:space="preserve">Основание: чертежи № </v>
      </c>
    </row>
    <row r="19" spans="1:27">
      <c r="G19" s="4" t="s">
        <v>176</v>
      </c>
      <c r="J19" s="13"/>
      <c r="K19" s="6"/>
    </row>
    <row r="20" spans="1:27">
      <c r="G20" s="4"/>
      <c r="J20" s="13"/>
      <c r="K20" s="6"/>
    </row>
    <row r="21" spans="1:27">
      <c r="A21" s="4" t="s">
        <v>178</v>
      </c>
      <c r="B21" s="4"/>
      <c r="C21" s="4"/>
      <c r="D21" s="14"/>
      <c r="E21" s="15">
        <f>IF(AND(Source!P12&lt;&gt;0,Source!Q12&lt;&gt;0),Source!P12,IF(Source!AF12=0,"",Source!AF12))</f>
        <v>2012</v>
      </c>
      <c r="F21" s="4" t="s">
        <v>179</v>
      </c>
    </row>
    <row r="22" spans="1:27">
      <c r="A22" s="18"/>
      <c r="B22" s="18"/>
      <c r="C22" s="18"/>
      <c r="D22" s="18"/>
      <c r="E22" s="18"/>
      <c r="F22" s="17" t="s">
        <v>192</v>
      </c>
      <c r="G22" s="71" t="s">
        <v>196</v>
      </c>
      <c r="H22" s="72"/>
      <c r="I22" s="72"/>
      <c r="J22" s="17"/>
      <c r="K22" s="22" t="s">
        <v>206</v>
      </c>
      <c r="Y22">
        <v>-1</v>
      </c>
    </row>
    <row r="23" spans="1:27">
      <c r="A23" s="16" t="s">
        <v>180</v>
      </c>
      <c r="B23" s="16" t="s">
        <v>182</v>
      </c>
      <c r="C23" s="19"/>
      <c r="D23" s="16" t="s">
        <v>187</v>
      </c>
      <c r="E23" s="16" t="s">
        <v>190</v>
      </c>
      <c r="F23" s="16" t="s">
        <v>193</v>
      </c>
      <c r="G23" s="17"/>
      <c r="H23" s="17" t="s">
        <v>199</v>
      </c>
      <c r="I23" s="17"/>
      <c r="J23" s="16" t="s">
        <v>204</v>
      </c>
      <c r="K23" s="20" t="s">
        <v>207</v>
      </c>
    </row>
    <row r="24" spans="1:27">
      <c r="A24" s="16" t="s">
        <v>181</v>
      </c>
      <c r="B24" s="16" t="s">
        <v>183</v>
      </c>
      <c r="C24" s="16" t="s">
        <v>186</v>
      </c>
      <c r="D24" s="16" t="s">
        <v>188</v>
      </c>
      <c r="E24" s="16" t="s">
        <v>191</v>
      </c>
      <c r="F24" s="16" t="s">
        <v>194</v>
      </c>
      <c r="G24" s="16" t="s">
        <v>197</v>
      </c>
      <c r="H24" s="16" t="s">
        <v>200</v>
      </c>
      <c r="I24" s="16" t="s">
        <v>202</v>
      </c>
      <c r="J24" s="16" t="s">
        <v>205</v>
      </c>
      <c r="K24" s="21" t="s">
        <v>208</v>
      </c>
    </row>
    <row r="25" spans="1:27">
      <c r="A25" s="19"/>
      <c r="B25" s="16" t="s">
        <v>184</v>
      </c>
      <c r="C25" s="19"/>
      <c r="D25" s="16" t="s">
        <v>189</v>
      </c>
      <c r="E25" s="19"/>
      <c r="F25" s="16" t="s">
        <v>195</v>
      </c>
      <c r="G25" s="16" t="s">
        <v>198</v>
      </c>
      <c r="H25" s="16" t="s">
        <v>201</v>
      </c>
      <c r="I25" s="16" t="s">
        <v>203</v>
      </c>
      <c r="J25" s="16" t="s">
        <v>195</v>
      </c>
      <c r="K25" s="20" t="s">
        <v>209</v>
      </c>
    </row>
    <row r="26" spans="1:27">
      <c r="A26" s="19"/>
      <c r="B26" s="16" t="s">
        <v>185</v>
      </c>
      <c r="C26" s="19"/>
      <c r="D26" s="19"/>
      <c r="E26" s="19"/>
      <c r="F26" s="19"/>
      <c r="G26" s="16"/>
      <c r="H26" s="16"/>
      <c r="I26" s="16"/>
      <c r="J26" s="16"/>
      <c r="K26" s="21" t="s">
        <v>210</v>
      </c>
    </row>
    <row r="27" spans="1:27">
      <c r="A27" s="23">
        <v>1</v>
      </c>
      <c r="B27" s="23">
        <v>2</v>
      </c>
      <c r="C27" s="23">
        <v>3</v>
      </c>
      <c r="D27" s="23">
        <v>4</v>
      </c>
      <c r="E27" s="23">
        <v>5</v>
      </c>
      <c r="F27" s="23">
        <v>6</v>
      </c>
      <c r="G27" s="23">
        <v>7</v>
      </c>
      <c r="H27" s="23">
        <v>8</v>
      </c>
      <c r="I27" s="23">
        <v>9</v>
      </c>
      <c r="J27" s="23">
        <v>10</v>
      </c>
      <c r="K27" s="24">
        <v>11</v>
      </c>
    </row>
    <row r="28" spans="1:27" ht="36">
      <c r="A28" s="25" t="str">
        <f>Source!E24</f>
        <v>1</v>
      </c>
      <c r="B28" s="25" t="str">
        <f>Source!F24</f>
        <v>3.27-77-3</v>
      </c>
      <c r="C28" s="11" t="str">
        <f>Source!G24</f>
        <v>НАНЕСЕНИЕ ПОПЕРЕЧНОЙ ЛИНИИ ДОРОЖНОЙ РАЗМЕТКИ КРАСКОЙ</v>
      </c>
      <c r="D28" s="26" t="str">
        <f>Source!DW24</f>
        <v>м2</v>
      </c>
      <c r="E28" s="6">
        <f>ROUND(Source!I24,6)</f>
        <v>8804</v>
      </c>
      <c r="F28" s="6"/>
      <c r="G28" s="6"/>
      <c r="H28" s="6"/>
      <c r="I28" s="6"/>
      <c r="J28" s="6"/>
      <c r="K28" s="6"/>
      <c r="Y28">
        <v>1</v>
      </c>
    </row>
    <row r="29" spans="1:27">
      <c r="A29" s="6"/>
      <c r="B29" s="6"/>
      <c r="C29" s="6" t="s">
        <v>211</v>
      </c>
      <c r="D29" s="6"/>
      <c r="E29" s="6"/>
      <c r="F29" s="13">
        <f>Source!AO24</f>
        <v>2.31</v>
      </c>
      <c r="G29" s="27" t="str">
        <f>Source!DG24</f>
        <v>*1,15</v>
      </c>
      <c r="H29" s="6">
        <f>Source!AV24</f>
        <v>1</v>
      </c>
      <c r="I29" s="6">
        <f>Source!BA24</f>
        <v>13.09</v>
      </c>
      <c r="J29" s="13">
        <f>Source!S24</f>
        <v>306146.64</v>
      </c>
      <c r="K29" s="6"/>
    </row>
    <row r="30" spans="1:27">
      <c r="A30" s="6"/>
      <c r="B30" s="6"/>
      <c r="C30" s="6" t="s">
        <v>212</v>
      </c>
      <c r="D30" s="6"/>
      <c r="E30" s="6"/>
      <c r="F30" s="13">
        <f>Source!AM24</f>
        <v>37.229999999999997</v>
      </c>
      <c r="G30" s="27" t="str">
        <f>Source!DE24</f>
        <v>*1,25</v>
      </c>
      <c r="H30" s="6">
        <f>Source!AV24</f>
        <v>1</v>
      </c>
      <c r="I30" s="6">
        <f>Source!BB24</f>
        <v>2.09</v>
      </c>
      <c r="J30" s="13">
        <f>Source!Q24</f>
        <v>856306.75</v>
      </c>
      <c r="K30" s="6"/>
    </row>
    <row r="31" spans="1:27">
      <c r="A31" s="6"/>
      <c r="B31" s="6"/>
      <c r="C31" s="6" t="s">
        <v>213</v>
      </c>
      <c r="D31" s="6"/>
      <c r="E31" s="6"/>
      <c r="F31" s="13">
        <f>Source!AN24</f>
        <v>1.63</v>
      </c>
      <c r="G31" s="27" t="str">
        <f>Source!DF24</f>
        <v>*1,25</v>
      </c>
      <c r="H31" s="6">
        <f>Source!AV24</f>
        <v>1</v>
      </c>
      <c r="I31" s="6">
        <f>Source!BS24</f>
        <v>13.09</v>
      </c>
      <c r="J31" s="28" t="str">
        <f>CONCATENATE("(",TEXT(+Source!R24,"0,00"),")")</f>
        <v>(234810,38)</v>
      </c>
      <c r="K31" s="6"/>
    </row>
    <row r="32" spans="1:27" ht="24">
      <c r="A32" s="25" t="str">
        <f>Source!E25</f>
        <v>1,1</v>
      </c>
      <c r="B32" s="25" t="str">
        <f>Source!F25</f>
        <v>1.1-1-2254</v>
      </c>
      <c r="C32" s="11" t="str">
        <f>Source!G25</f>
        <v>КРАСКА ДОРОЖНАЯ (ЭМАЛЬ) БЕЛАЯ, МАРКА "АК-505"</v>
      </c>
      <c r="D32" s="26" t="str">
        <f>Source!DW25</f>
        <v>т</v>
      </c>
      <c r="E32" s="53">
        <f>ROUND(Source!I25,6)</f>
        <v>4.6603529999999997</v>
      </c>
      <c r="F32" s="13">
        <f>IF(Source!AL25=0,Source!AK25,Source!AL25)</f>
        <v>32831.15</v>
      </c>
      <c r="G32" s="27" t="str">
        <f>Source!DD25</f>
        <v/>
      </c>
      <c r="H32" s="6">
        <f>Source!AW25</f>
        <v>1</v>
      </c>
      <c r="I32" s="6">
        <f>Source!BC25</f>
        <v>2.06</v>
      </c>
      <c r="J32" s="13">
        <f>Source!O25+0.03</f>
        <v>315189.78000000003</v>
      </c>
      <c r="K32" s="6"/>
      <c r="O32">
        <f>IF( Source!BI25 = 1, (0), 0 )</f>
        <v>0</v>
      </c>
      <c r="P32">
        <f>IF( Source!BI25 = 2, (0), 0 )</f>
        <v>0</v>
      </c>
      <c r="Q32">
        <f>IF( Source!BI25 = 3, (0), 0 )</f>
        <v>0</v>
      </c>
      <c r="R32">
        <f>IF( Source!BI25 = 4, (0), 0 )</f>
        <v>0</v>
      </c>
      <c r="U32">
        <f>IF( Source!BI25 = 1, Source!O25 + Source!X25 + Source!Y25, 0 )</f>
        <v>315189.75</v>
      </c>
      <c r="V32">
        <f>IF( Source!BI25 = 2, Source!O25 + Source!X25 + Source!Y25, 0 )</f>
        <v>0</v>
      </c>
      <c r="W32">
        <f>IF( Source!BI25 = 3, Source!O25 + Source!X25 + Source!Y25, 0 )</f>
        <v>0</v>
      </c>
      <c r="X32">
        <f>IF( Source!BI25 = 4, Source!O25 + Source!X25 + Source!Y25, 0 )</f>
        <v>0</v>
      </c>
      <c r="Y32">
        <v>2</v>
      </c>
    </row>
    <row r="33" spans="1:25">
      <c r="A33" s="6"/>
      <c r="B33" s="6"/>
      <c r="C33" s="6" t="s">
        <v>214</v>
      </c>
      <c r="D33" s="6" t="s">
        <v>215</v>
      </c>
      <c r="E33" s="6">
        <f>Source!AT24</f>
        <v>120</v>
      </c>
      <c r="F33" s="6"/>
      <c r="G33" s="6"/>
      <c r="H33" s="6"/>
      <c r="I33" s="6"/>
      <c r="J33" s="13">
        <f>Source!X24</f>
        <v>367375.97</v>
      </c>
      <c r="K33" s="6"/>
    </row>
    <row r="34" spans="1:25">
      <c r="A34" s="6"/>
      <c r="B34" s="6"/>
      <c r="C34" s="6" t="s">
        <v>216</v>
      </c>
      <c r="D34" s="6" t="s">
        <v>215</v>
      </c>
      <c r="E34" s="6">
        <f>Source!AU24</f>
        <v>42</v>
      </c>
      <c r="F34" s="6"/>
      <c r="G34" s="6"/>
      <c r="H34" s="6"/>
      <c r="I34" s="6"/>
      <c r="J34" s="13">
        <f>Source!Y24</f>
        <v>128581.59</v>
      </c>
      <c r="K34" s="6"/>
    </row>
    <row r="35" spans="1:25">
      <c r="A35" s="6"/>
      <c r="B35" s="6"/>
      <c r="C35" s="6" t="s">
        <v>217</v>
      </c>
      <c r="D35" s="6" t="s">
        <v>215</v>
      </c>
      <c r="E35" s="6">
        <v>167</v>
      </c>
      <c r="F35" s="6"/>
      <c r="G35" s="6"/>
      <c r="H35" s="6"/>
      <c r="I35" s="6"/>
      <c r="J35" s="13">
        <f>ROUND(Source!R24*E35/100, 2)</f>
        <v>392133.33</v>
      </c>
      <c r="K35" s="6"/>
    </row>
    <row r="36" spans="1:25">
      <c r="A36" s="29"/>
      <c r="B36" s="29"/>
      <c r="C36" s="29" t="s">
        <v>218</v>
      </c>
      <c r="D36" s="29" t="s">
        <v>219</v>
      </c>
      <c r="E36" s="29">
        <f>Source!AQ24</f>
        <v>0.2</v>
      </c>
      <c r="F36" s="29"/>
      <c r="G36" s="30" t="str">
        <f>Source!DI24</f>
        <v>*1,15</v>
      </c>
      <c r="H36" s="29">
        <f>Source!AV24</f>
        <v>1</v>
      </c>
      <c r="I36" s="29"/>
      <c r="J36" s="29"/>
      <c r="K36" s="31">
        <f>Source!U24</f>
        <v>2024.9199999999998</v>
      </c>
    </row>
    <row r="37" spans="1:25">
      <c r="I37" s="64">
        <f>Source!S24+Source!Q24+SUM(J32:J35)</f>
        <v>2365734.06</v>
      </c>
      <c r="J37" s="64"/>
      <c r="K37" s="32">
        <f>IF(Source!I24&lt;&gt;0,ROUND(I37/Source!I24,2),0)</f>
        <v>268.70999999999998</v>
      </c>
      <c r="N37" s="12">
        <f>I37</f>
        <v>2365734.06</v>
      </c>
      <c r="O37">
        <f>ROUND(IF( Source!BI24 = 1,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515715.09</v>
      </c>
      <c r="P37">
        <f>ROUND(IF( Source!BI24 = 2,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Q37">
        <f>ROUND(IF( Source!BI24 = 3,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R37">
        <f>ROUND(IF( Source!BI24 = 4,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U37">
        <f>IF( Source!BI24 = 1, Source!O24 + Source!X24 + Source!Y24 + Source!R24*167/100, 0 )</f>
        <v>2050544.2845999999</v>
      </c>
      <c r="V37">
        <f>IF( Source!BI24 = 2, Source!O24 + Source!X24 + Source!Y24 + Source!R24*167/100, 0 )</f>
        <v>0</v>
      </c>
      <c r="W37">
        <f>IF( Source!BI24 = 3, Source!O24 + Source!X24 + Source!Y24 + Source!R24*167/100, 0 )</f>
        <v>0</v>
      </c>
      <c r="X37">
        <f>IF( Source!BI24 = 4, Source!O24 + Source!X24 + Source!Y24 + Source!R24*167/100, 0 )</f>
        <v>0</v>
      </c>
    </row>
    <row r="38" spans="1:25" ht="36">
      <c r="A38" s="25" t="str">
        <f>Source!E29</f>
        <v>2</v>
      </c>
      <c r="B38" s="25" t="str">
        <f>Source!F29</f>
        <v>3.27-77-3</v>
      </c>
      <c r="C38" s="11" t="str">
        <f>Source!G29</f>
        <v>НАНЕСЕНИЕ ПОПЕРЕЧНОЙ ЛИНИИ ДОРОЖНОЙ РАЗМЕТКИ КРАСКОЙ</v>
      </c>
      <c r="D38" s="26" t="str">
        <f>Source!DW29</f>
        <v>м2</v>
      </c>
      <c r="E38" s="6">
        <f>ROUND(Source!I29,6)</f>
        <v>8804</v>
      </c>
      <c r="F38" s="6"/>
      <c r="G38" s="6"/>
      <c r="H38" s="6"/>
      <c r="I38" s="6"/>
      <c r="J38" s="6"/>
      <c r="K38" s="6"/>
      <c r="Y38">
        <v>3</v>
      </c>
    </row>
    <row r="39" spans="1:25">
      <c r="A39" s="6"/>
      <c r="B39" s="6"/>
      <c r="C39" s="6" t="s">
        <v>211</v>
      </c>
      <c r="D39" s="6"/>
      <c r="E39" s="6"/>
      <c r="F39" s="13">
        <f>Source!AO29</f>
        <v>2.31</v>
      </c>
      <c r="G39" s="27" t="str">
        <f>Source!DG29</f>
        <v>*1,15</v>
      </c>
      <c r="H39" s="6">
        <f>Source!AV29</f>
        <v>1</v>
      </c>
      <c r="I39" s="6">
        <f>Source!BA29</f>
        <v>13.09</v>
      </c>
      <c r="J39" s="13">
        <f>Source!S29</f>
        <v>306146.64</v>
      </c>
      <c r="K39" s="6"/>
    </row>
    <row r="40" spans="1:25">
      <c r="A40" s="6"/>
      <c r="B40" s="6"/>
      <c r="C40" s="6" t="s">
        <v>212</v>
      </c>
      <c r="D40" s="6"/>
      <c r="E40" s="6"/>
      <c r="F40" s="13">
        <f>Source!AM29</f>
        <v>37.229999999999997</v>
      </c>
      <c r="G40" s="27" t="str">
        <f>Source!DE29</f>
        <v>*1,25</v>
      </c>
      <c r="H40" s="6">
        <f>Source!AV29</f>
        <v>1</v>
      </c>
      <c r="I40" s="6">
        <f>Source!BB29</f>
        <v>2.09</v>
      </c>
      <c r="J40" s="13">
        <f>Source!Q29</f>
        <v>856306.75</v>
      </c>
      <c r="K40" s="6"/>
    </row>
    <row r="41" spans="1:25">
      <c r="A41" s="6"/>
      <c r="B41" s="6"/>
      <c r="C41" s="6" t="s">
        <v>213</v>
      </c>
      <c r="D41" s="6"/>
      <c r="E41" s="6"/>
      <c r="F41" s="13">
        <f>Source!AN29</f>
        <v>1.63</v>
      </c>
      <c r="G41" s="27" t="str">
        <f>Source!DF29</f>
        <v>*1,25</v>
      </c>
      <c r="H41" s="6">
        <f>Source!AV29</f>
        <v>1</v>
      </c>
      <c r="I41" s="6">
        <f>Source!BS29</f>
        <v>13.09</v>
      </c>
      <c r="J41" s="28" t="str">
        <f>CONCATENATE("(",TEXT(+Source!R29,"0,00"),")")</f>
        <v>(234810,38)</v>
      </c>
      <c r="K41" s="6"/>
    </row>
    <row r="42" spans="1:25" ht="24">
      <c r="A42" s="25" t="str">
        <f>Source!E30</f>
        <v>2,1</v>
      </c>
      <c r="B42" s="25" t="str">
        <f>Source!F30</f>
        <v>1.1-1-2257</v>
      </c>
      <c r="C42" s="11" t="str">
        <f>Source!G30</f>
        <v>ПРИМ.- КРАСКА ДОРОЖНАЯ КРАСНАЯ, МАРКА "АК-505"</v>
      </c>
      <c r="D42" s="26" t="str">
        <f>Source!DW30</f>
        <v>т</v>
      </c>
      <c r="E42" s="53">
        <f>ROUND(Source!I30,6)</f>
        <v>4.6603529999999997</v>
      </c>
      <c r="F42" s="13">
        <f>IF(Source!AL30=0,Source!AK30,Source!AL30)</f>
        <v>43541.15</v>
      </c>
      <c r="G42" s="27" t="str">
        <f>Source!DD30</f>
        <v/>
      </c>
      <c r="H42" s="6">
        <f>Source!AW30</f>
        <v>1</v>
      </c>
      <c r="I42" s="6">
        <f>Source!BC30</f>
        <v>2.0099999999999998</v>
      </c>
      <c r="J42" s="13">
        <f>Source!O30</f>
        <v>407863.47</v>
      </c>
      <c r="K42" s="6"/>
      <c r="O42">
        <f>IF( Source!BI30 = 1, (0), 0 )</f>
        <v>0</v>
      </c>
      <c r="P42">
        <f>IF( Source!BI30 = 2, (0), 0 )</f>
        <v>0</v>
      </c>
      <c r="Q42">
        <f>IF( Source!BI30 = 3, (0), 0 )</f>
        <v>0</v>
      </c>
      <c r="R42">
        <f>IF( Source!BI30 = 4, (0), 0 )</f>
        <v>0</v>
      </c>
      <c r="U42">
        <f>IF( Source!BI30 = 1, Source!O30 + Source!X30 + Source!Y30, 0 )</f>
        <v>407863.47</v>
      </c>
      <c r="V42">
        <f>IF( Source!BI30 = 2, Source!O30 + Source!X30 + Source!Y30, 0 )</f>
        <v>0</v>
      </c>
      <c r="W42">
        <f>IF( Source!BI30 = 3, Source!O30 + Source!X30 + Source!Y30, 0 )</f>
        <v>0</v>
      </c>
      <c r="X42">
        <f>IF( Source!BI30 = 4, Source!O30 + Source!X30 + Source!Y30, 0 )</f>
        <v>0</v>
      </c>
      <c r="Y42">
        <v>4</v>
      </c>
    </row>
    <row r="43" spans="1:25">
      <c r="A43" s="6"/>
      <c r="B43" s="6"/>
      <c r="C43" s="6" t="s">
        <v>214</v>
      </c>
      <c r="D43" s="6" t="s">
        <v>215</v>
      </c>
      <c r="E43" s="6">
        <f>Source!AT29</f>
        <v>120</v>
      </c>
      <c r="F43" s="6"/>
      <c r="G43" s="6"/>
      <c r="H43" s="6"/>
      <c r="I43" s="6"/>
      <c r="J43" s="13">
        <f>Source!X29</f>
        <v>367375.97</v>
      </c>
      <c r="K43" s="6"/>
    </row>
    <row r="44" spans="1:25">
      <c r="A44" s="6"/>
      <c r="B44" s="6"/>
      <c r="C44" s="6" t="s">
        <v>216</v>
      </c>
      <c r="D44" s="6" t="s">
        <v>215</v>
      </c>
      <c r="E44" s="6">
        <f>Source!AU29</f>
        <v>42</v>
      </c>
      <c r="F44" s="6"/>
      <c r="G44" s="6"/>
      <c r="H44" s="6"/>
      <c r="I44" s="6"/>
      <c r="J44" s="13">
        <f>Source!Y29</f>
        <v>128581.59</v>
      </c>
      <c r="K44" s="6"/>
    </row>
    <row r="45" spans="1:25">
      <c r="A45" s="6"/>
      <c r="B45" s="6"/>
      <c r="C45" s="6" t="s">
        <v>217</v>
      </c>
      <c r="D45" s="6" t="s">
        <v>215</v>
      </c>
      <c r="E45" s="6">
        <v>167</v>
      </c>
      <c r="F45" s="6"/>
      <c r="G45" s="6"/>
      <c r="H45" s="6"/>
      <c r="I45" s="6"/>
      <c r="J45" s="13">
        <f>ROUND(Source!R29*E45/100, 2)</f>
        <v>392133.33</v>
      </c>
      <c r="K45" s="6"/>
    </row>
    <row r="46" spans="1:25">
      <c r="A46" s="29"/>
      <c r="B46" s="29"/>
      <c r="C46" s="29" t="s">
        <v>218</v>
      </c>
      <c r="D46" s="29" t="s">
        <v>219</v>
      </c>
      <c r="E46" s="29">
        <f>Source!AQ29</f>
        <v>0.2</v>
      </c>
      <c r="F46" s="29"/>
      <c r="G46" s="30" t="str">
        <f>Source!DI29</f>
        <v>*1,15</v>
      </c>
      <c r="H46" s="29">
        <f>Source!AV29</f>
        <v>1</v>
      </c>
      <c r="I46" s="29"/>
      <c r="J46" s="29"/>
      <c r="K46" s="31">
        <f>Source!U29</f>
        <v>2024.9199999999998</v>
      </c>
    </row>
    <row r="47" spans="1:25">
      <c r="I47" s="64">
        <f>Source!S29+Source!Q29+SUM(J42:J45)</f>
        <v>2458407.75</v>
      </c>
      <c r="J47" s="64"/>
      <c r="K47" s="32">
        <f>IF(Source!I29&lt;&gt;0,ROUND(I47/Source!I29,2),0)</f>
        <v>279.24</v>
      </c>
      <c r="N47" s="12">
        <f>I47</f>
        <v>2458407.75</v>
      </c>
      <c r="O47">
        <f>ROUND(IF( Source!BI29 = 1,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515715.09</v>
      </c>
      <c r="P47">
        <f>ROUND(IF( Source!BI29 = 2,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Q47">
        <f>ROUND(IF( Source!BI29 = 3,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R47">
        <f>ROUND(IF( Source!BI29 = 4, (ROUND((Source!CT29/IF(Source!BA29&lt;&gt; 0, Source!BA29,1) * Source!I29), 2)+ROUND((Source!CR29/IF(Source!BB29&lt;&gt; 0, Source!BB29,1) * Source!I29), 2)+ROUND((Source!CQ29/IF(Source!BC29&lt;&gt; 0, Source!BC29,1) * Source!I29), 2)+((Source!DN29/100)*ROUND((Source!CT29/IF(Source!BA29&lt;&gt;0,Source!BA29,1) * Source!I29), 2))+((Source!DO29/100)*ROUND((Source!CT29/IF(Source!BA29&lt;&gt;0,Source!BA29,1) * Source!I29), 2))+(ROUND((Source!CS29/IF(Source!BS29&lt;&gt;0,Source!BS29,1) * Source!I29), 2)* 1.75)), 0 ), 2)</f>
        <v>0</v>
      </c>
      <c r="U47">
        <f>IF( Source!BI29 = 1, Source!O29 + Source!X29 + Source!Y29 + Source!R29*167/100, 0 )</f>
        <v>2050544.2845999999</v>
      </c>
      <c r="V47">
        <f>IF( Source!BI29 = 2, Source!O29 + Source!X29 + Source!Y29 + Source!R29*167/100, 0 )</f>
        <v>0</v>
      </c>
      <c r="W47">
        <f>IF( Source!BI29 = 3, Source!O29 + Source!X29 + Source!Y29 + Source!R29*167/100, 0 )</f>
        <v>0</v>
      </c>
      <c r="X47">
        <f>IF( Source!BI29 = 4, Source!O29 + Source!X29 + Source!Y29 + Source!R29*167/100, 0 )</f>
        <v>0</v>
      </c>
    </row>
    <row r="48" spans="1:25" ht="36">
      <c r="A48" s="25" t="str">
        <f>Source!E37</f>
        <v>3</v>
      </c>
      <c r="B48" s="25" t="str">
        <f>Source!F37</f>
        <v>6.51-4-1</v>
      </c>
      <c r="C48" s="11" t="str">
        <f>Source!G37</f>
        <v>РЫТЬЕ ЯМ ДЛЯ УСТАНОВКИ СТОЕК И СТОЛБОВ ГЛУБИНА, М: 0,4</v>
      </c>
      <c r="D48" s="26" t="str">
        <f>Source!DW37</f>
        <v>100 ям</v>
      </c>
      <c r="E48" s="6">
        <f>ROUND(Source!I37,6)</f>
        <v>0</v>
      </c>
      <c r="F48" s="6"/>
      <c r="G48" s="6"/>
      <c r="H48" s="6"/>
      <c r="I48" s="6"/>
      <c r="J48" s="6"/>
      <c r="K48" s="6"/>
      <c r="Y48">
        <v>5</v>
      </c>
    </row>
    <row r="49" spans="1:25">
      <c r="A49" s="6"/>
      <c r="B49" s="6"/>
      <c r="C49" s="6" t="s">
        <v>211</v>
      </c>
      <c r="D49" s="6"/>
      <c r="E49" s="6"/>
      <c r="F49" s="13">
        <f>Source!AO37</f>
        <v>2735.2</v>
      </c>
      <c r="G49" s="27" t="str">
        <f>Source!DG37</f>
        <v/>
      </c>
      <c r="H49" s="6">
        <f>Source!AV37</f>
        <v>1.248</v>
      </c>
      <c r="I49" s="6">
        <f>Source!BA37</f>
        <v>13.09</v>
      </c>
      <c r="J49" s="13">
        <f>Source!S37</f>
        <v>0</v>
      </c>
      <c r="K49" s="6"/>
    </row>
    <row r="50" spans="1:25">
      <c r="A50" s="6"/>
      <c r="B50" s="6"/>
      <c r="C50" s="6" t="s">
        <v>214</v>
      </c>
      <c r="D50" s="6" t="s">
        <v>215</v>
      </c>
      <c r="E50" s="6">
        <f>Source!AT37</f>
        <v>78</v>
      </c>
      <c r="F50" s="6"/>
      <c r="G50" s="6"/>
      <c r="H50" s="6"/>
      <c r="I50" s="6"/>
      <c r="J50" s="13">
        <f>Source!X37</f>
        <v>0</v>
      </c>
      <c r="K50" s="6"/>
    </row>
    <row r="51" spans="1:25">
      <c r="A51" s="6"/>
      <c r="B51" s="6"/>
      <c r="C51" s="6" t="s">
        <v>216</v>
      </c>
      <c r="D51" s="6" t="s">
        <v>215</v>
      </c>
      <c r="E51" s="6">
        <f>Source!AU37</f>
        <v>42</v>
      </c>
      <c r="F51" s="6"/>
      <c r="G51" s="6"/>
      <c r="H51" s="6"/>
      <c r="I51" s="6"/>
      <c r="J51" s="13">
        <f>Source!Y37</f>
        <v>0</v>
      </c>
      <c r="K51" s="6"/>
    </row>
    <row r="52" spans="1:25">
      <c r="A52" s="29"/>
      <c r="B52" s="29"/>
      <c r="C52" s="29" t="s">
        <v>218</v>
      </c>
      <c r="D52" s="29" t="s">
        <v>219</v>
      </c>
      <c r="E52" s="29">
        <f>Source!AQ37</f>
        <v>260</v>
      </c>
      <c r="F52" s="29"/>
      <c r="G52" s="30" t="str">
        <f>Source!DI37</f>
        <v/>
      </c>
      <c r="H52" s="29">
        <f>Source!AV37</f>
        <v>1.248</v>
      </c>
      <c r="I52" s="29"/>
      <c r="J52" s="29"/>
      <c r="K52" s="31">
        <f>Source!U37</f>
        <v>0</v>
      </c>
    </row>
    <row r="53" spans="1:25">
      <c r="I53" s="64">
        <f>Source!S37+Source!Q37+SUM(J50:J51)</f>
        <v>0</v>
      </c>
      <c r="J53" s="64"/>
      <c r="K53" s="32">
        <f>IF(Source!I37&lt;&gt;0,ROUND(I53/Source!I37,2),0)</f>
        <v>0</v>
      </c>
      <c r="N53" s="12">
        <f>I53</f>
        <v>0</v>
      </c>
      <c r="O53">
        <f>ROUND(IF( Source!BI37 = 1,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P53">
        <f>ROUND(IF( Source!BI37 = 2,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Q53">
        <f>ROUND(IF( Source!BI37 = 3,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R53">
        <f>ROUND(IF( Source!BI37 = 4, (ROUND((Source!CT37/IF(Source!BA37&lt;&gt; 0, Source!BA37,1) * Source!I37), 2)+ROUND((Source!CR37/IF(Source!BB37&lt;&gt; 0, Source!BB37,1) * Source!I37), 2)+ROUND((Source!CQ37/IF(Source!BC37&lt;&gt; 0, Source!BC37,1) * Source!I37), 2)+((Source!DN37/100)*ROUND((Source!CT37/IF(Source!BA37&lt;&gt;0,Source!BA37,1) * Source!I37), 2))+((Source!DO37/100)*ROUND((Source!CT37/IF(Source!BA37&lt;&gt;0,Source!BA37,1) * Source!I37), 2))+(ROUND((Source!CS37/IF(Source!BS37&lt;&gt;0,Source!BS37,1) * Source!I37), 2)* 1.75)), 0 ), 2)</f>
        <v>0</v>
      </c>
      <c r="U53">
        <f>IF( Source!BI37 = 1, Source!O37 + Source!X37 + Source!Y37 + Source!R37*167/100, 0 )</f>
        <v>0</v>
      </c>
      <c r="V53">
        <f>IF( Source!BI37 = 2, Source!O37 + Source!X37 + Source!Y37 + Source!R37*167/100, 0 )</f>
        <v>0</v>
      </c>
      <c r="W53">
        <f>IF( Source!BI37 = 3, Source!O37 + Source!X37 + Source!Y37 + Source!R37*167/100, 0 )</f>
        <v>0</v>
      </c>
      <c r="X53">
        <f>IF( Source!BI37 = 4, Source!O37 + Source!X37 + Source!Y37 + Source!R37*167/100, 0 )</f>
        <v>0</v>
      </c>
    </row>
    <row r="54" spans="1:25" ht="24">
      <c r="A54" s="25" t="str">
        <f>Source!E38</f>
        <v>4</v>
      </c>
      <c r="B54" s="25" t="str">
        <f>Source!F38</f>
        <v>3.27-71-1</v>
      </c>
      <c r="C54" s="11" t="str">
        <f>Source!G38</f>
        <v>УСТАНОВКА ДОРОЖНЫХ ЗНАКОВ НА МЕТАЛЛИЧЕСКИХ СТОЙКАХ</v>
      </c>
      <c r="D54" s="26" t="str">
        <f>Source!DW38</f>
        <v>100 шт.</v>
      </c>
      <c r="E54" s="6">
        <f>ROUND(Source!I38,6)</f>
        <v>2.46</v>
      </c>
      <c r="F54" s="6"/>
      <c r="G54" s="6"/>
      <c r="H54" s="6"/>
      <c r="I54" s="6"/>
      <c r="J54" s="6"/>
      <c r="K54" s="6"/>
      <c r="Y54">
        <v>6</v>
      </c>
    </row>
    <row r="55" spans="1:25">
      <c r="A55" s="6"/>
      <c r="B55" s="6"/>
      <c r="C55" s="6" t="s">
        <v>211</v>
      </c>
      <c r="D55" s="6"/>
      <c r="E55" s="6"/>
      <c r="F55" s="13">
        <f>Source!AO38</f>
        <v>3330.07</v>
      </c>
      <c r="G55" s="27" t="str">
        <f>Source!DG38</f>
        <v/>
      </c>
      <c r="H55" s="6">
        <f>Source!AV38</f>
        <v>1.0469999999999999</v>
      </c>
      <c r="I55" s="6">
        <f>Source!BA38</f>
        <v>13.09</v>
      </c>
      <c r="J55" s="13">
        <f>Source!S38</f>
        <v>112272.86</v>
      </c>
      <c r="K55" s="6"/>
    </row>
    <row r="56" spans="1:25">
      <c r="A56" s="6"/>
      <c r="B56" s="6"/>
      <c r="C56" s="6" t="s">
        <v>220</v>
      </c>
      <c r="D56" s="6"/>
      <c r="E56" s="6"/>
      <c r="F56" s="13">
        <f>Source!AL38</f>
        <v>1181.68</v>
      </c>
      <c r="G56" s="6" t="str">
        <f>Source!DD38</f>
        <v/>
      </c>
      <c r="H56" s="6">
        <f>Source!AW38</f>
        <v>1</v>
      </c>
      <c r="I56" s="6">
        <f>Source!BC38</f>
        <v>2.93</v>
      </c>
      <c r="J56" s="13">
        <f>Source!P38</f>
        <v>8517.31</v>
      </c>
      <c r="K56" s="6"/>
    </row>
    <row r="57" spans="1:25" ht="36">
      <c r="A57" s="25" t="str">
        <f>Source!E39</f>
        <v>4,1</v>
      </c>
      <c r="B57" s="25" t="str">
        <f>Source!F39</f>
        <v>1.7-13-100</v>
      </c>
      <c r="C57" s="11" t="str">
        <f>Source!G39</f>
        <v>СТОЙКИ ИЗ ОЦИНКОВАННОЙ СТАЛИ, ДИАМЕТР 76 ММ, ДЛИНА 3 М</v>
      </c>
      <c r="D57" s="26" t="str">
        <f>Source!DW39</f>
        <v>шт.</v>
      </c>
      <c r="E57" s="6">
        <f>ROUND(Source!I39,6)</f>
        <v>246</v>
      </c>
      <c r="F57" s="13">
        <f>IF(Source!AL39=0,Source!AK39,Source!AL39)</f>
        <v>574.45000000000005</v>
      </c>
      <c r="G57" s="27" t="str">
        <f>Source!DD39</f>
        <v/>
      </c>
      <c r="H57" s="6">
        <f>Source!AW39</f>
        <v>1</v>
      </c>
      <c r="I57" s="6">
        <f>Source!BC39</f>
        <v>3.04</v>
      </c>
      <c r="J57" s="13">
        <f>Source!O39</f>
        <v>429596.69</v>
      </c>
      <c r="K57" s="6"/>
      <c r="O57">
        <f>IF( Source!BI39 = 1, (0), 0 )</f>
        <v>0</v>
      </c>
      <c r="P57">
        <f>IF( Source!BI39 = 2, (0), 0 )</f>
        <v>0</v>
      </c>
      <c r="Q57">
        <f>IF( Source!BI39 = 3, (0), 0 )</f>
        <v>0</v>
      </c>
      <c r="R57">
        <f>IF( Source!BI39 = 4, (0), 0 )</f>
        <v>0</v>
      </c>
      <c r="U57">
        <f>IF( Source!BI39 = 1, Source!O39 + Source!X39 + Source!Y39, 0 )</f>
        <v>429596.69</v>
      </c>
      <c r="V57">
        <f>IF( Source!BI39 = 2, Source!O39 + Source!X39 + Source!Y39, 0 )</f>
        <v>0</v>
      </c>
      <c r="W57">
        <f>IF( Source!BI39 = 3, Source!O39 + Source!X39 + Source!Y39, 0 )</f>
        <v>0</v>
      </c>
      <c r="X57">
        <f>IF( Source!BI39 = 4, Source!O39 + Source!X39 + Source!Y39, 0 )</f>
        <v>0</v>
      </c>
      <c r="Y57">
        <v>7</v>
      </c>
    </row>
    <row r="58" spans="1:25" ht="60">
      <c r="A58" s="25" t="str">
        <f>Source!E40</f>
        <v>4,2</v>
      </c>
      <c r="B58" s="25" t="str">
        <f>Source!F40</f>
        <v>1.7-13-4</v>
      </c>
      <c r="C58" s="11" t="str">
        <f>Source!G40</f>
        <v>ЗНАКИ ИЗ ТОНКОЛИСТОВОЙ ОЦИНКОВАННОЙ СТАЛИ СО СВЕТОВОЗВРАЩАЮЩЕЙ ПЛЕНКОЙ, КРУГЛОЙ ФОРМЫ, ДИАМЕТР 600 ММ</v>
      </c>
      <c r="D58" s="26" t="str">
        <f>Source!DW40</f>
        <v>шт.</v>
      </c>
      <c r="E58" s="6">
        <f>ROUND(Source!I40,6)</f>
        <v>246</v>
      </c>
      <c r="F58" s="13">
        <f>IF(Source!AL40=0,Source!AK40,Source!AL40)</f>
        <v>479.07</v>
      </c>
      <c r="G58" s="27" t="str">
        <f>Source!DD40</f>
        <v/>
      </c>
      <c r="H58" s="6">
        <f>Source!AW40</f>
        <v>1</v>
      </c>
      <c r="I58" s="6">
        <f>Source!BC40</f>
        <v>1.58</v>
      </c>
      <c r="J58" s="13">
        <f>Source!O40</f>
        <v>186204.93</v>
      </c>
      <c r="K58" s="6"/>
      <c r="O58">
        <f>IF( Source!BI40 = 1, (0), 0 )</f>
        <v>0</v>
      </c>
      <c r="P58">
        <f>IF( Source!BI40 = 2, (0), 0 )</f>
        <v>0</v>
      </c>
      <c r="Q58">
        <f>IF( Source!BI40 = 3, (0), 0 )</f>
        <v>0</v>
      </c>
      <c r="R58">
        <f>IF( Source!BI40 = 4, (0), 0 )</f>
        <v>0</v>
      </c>
      <c r="U58">
        <f>IF( Source!BI40 = 1, Source!O40 + Source!X40 + Source!Y40, 0 )</f>
        <v>186204.93</v>
      </c>
      <c r="V58">
        <f>IF( Source!BI40 = 2, Source!O40 + Source!X40 + Source!Y40, 0 )</f>
        <v>0</v>
      </c>
      <c r="W58">
        <f>IF( Source!BI40 = 3, Source!O40 + Source!X40 + Source!Y40, 0 )</f>
        <v>0</v>
      </c>
      <c r="X58">
        <f>IF( Source!BI40 = 4, Source!O40 + Source!X40 + Source!Y40, 0 )</f>
        <v>0</v>
      </c>
      <c r="Y58">
        <v>8</v>
      </c>
    </row>
    <row r="59" spans="1:25" ht="72">
      <c r="A59" s="25" t="str">
        <f>Source!E41</f>
        <v>4,3</v>
      </c>
      <c r="B59" s="25" t="str">
        <f>Source!F41</f>
        <v>1.7-13-16</v>
      </c>
      <c r="C59" s="11" t="str">
        <f>Source!G41</f>
        <v>ЗНАКИ ИЗ ТОНКОЛИСТОВОЙ ОЦИНКОВАННОЙ СТАЛИ СО СВЕТОВОЗВРАЩАЮЩЕЙ ПЛЕНКОЙ, ПРЯМОУГОЛЬНОЙ ФОРМЫ, СО СТОРОНАМИ РАЗМЕРОМ 300Х600 ММ</v>
      </c>
      <c r="D59" s="26" t="str">
        <f>Source!DW41</f>
        <v>шт.</v>
      </c>
      <c r="E59" s="6">
        <f>ROUND(Source!I41,6)</f>
        <v>492</v>
      </c>
      <c r="F59" s="13">
        <f>IF(Source!AL41=0,Source!AK41,Source!AL41)</f>
        <v>312.87</v>
      </c>
      <c r="G59" s="27" t="str">
        <f>Source!DD41</f>
        <v/>
      </c>
      <c r="H59" s="6">
        <f>Source!AW41</f>
        <v>1</v>
      </c>
      <c r="I59" s="6">
        <f>Source!BC41</f>
        <v>1.54</v>
      </c>
      <c r="J59" s="13">
        <f>Source!O41</f>
        <v>237055.34</v>
      </c>
      <c r="K59" s="6"/>
      <c r="O59">
        <f>IF( Source!BI41 = 1, (0), 0 )</f>
        <v>0</v>
      </c>
      <c r="P59">
        <f>IF( Source!BI41 = 2, (0), 0 )</f>
        <v>0</v>
      </c>
      <c r="Q59">
        <f>IF( Source!BI41 = 3, (0), 0 )</f>
        <v>0</v>
      </c>
      <c r="R59">
        <f>IF( Source!BI41 = 4, (0), 0 )</f>
        <v>0</v>
      </c>
      <c r="U59">
        <f>IF( Source!BI41 = 1, Source!O41 + Source!X41 + Source!Y41, 0 )</f>
        <v>237055.34</v>
      </c>
      <c r="V59">
        <f>IF( Source!BI41 = 2, Source!O41 + Source!X41 + Source!Y41, 0 )</f>
        <v>0</v>
      </c>
      <c r="W59">
        <f>IF( Source!BI41 = 3, Source!O41 + Source!X41 + Source!Y41, 0 )</f>
        <v>0</v>
      </c>
      <c r="X59">
        <f>IF( Source!BI41 = 4, Source!O41 + Source!X41 + Source!Y41, 0 )</f>
        <v>0</v>
      </c>
      <c r="Y59">
        <v>9</v>
      </c>
    </row>
    <row r="60" spans="1:25">
      <c r="A60" s="6"/>
      <c r="B60" s="6"/>
      <c r="C60" s="6" t="s">
        <v>214</v>
      </c>
      <c r="D60" s="6" t="s">
        <v>215</v>
      </c>
      <c r="E60" s="6">
        <f>Source!AT38</f>
        <v>78</v>
      </c>
      <c r="F60" s="6"/>
      <c r="G60" s="6"/>
      <c r="H60" s="6"/>
      <c r="I60" s="6"/>
      <c r="J60" s="13">
        <f>Source!X38</f>
        <v>87572.83</v>
      </c>
      <c r="K60" s="6"/>
    </row>
    <row r="61" spans="1:25">
      <c r="A61" s="6"/>
      <c r="B61" s="6"/>
      <c r="C61" s="6" t="s">
        <v>216</v>
      </c>
      <c r="D61" s="6" t="s">
        <v>215</v>
      </c>
      <c r="E61" s="6">
        <f>Source!AU38</f>
        <v>42</v>
      </c>
      <c r="F61" s="6"/>
      <c r="G61" s="6"/>
      <c r="H61" s="6"/>
      <c r="I61" s="6"/>
      <c r="J61" s="13">
        <f>Source!Y38</f>
        <v>47154.6</v>
      </c>
      <c r="K61" s="6"/>
    </row>
    <row r="62" spans="1:25">
      <c r="A62" s="29"/>
      <c r="B62" s="29"/>
      <c r="C62" s="29" t="s">
        <v>218</v>
      </c>
      <c r="D62" s="29" t="s">
        <v>219</v>
      </c>
      <c r="E62" s="29">
        <f>Source!AQ38</f>
        <v>297.86</v>
      </c>
      <c r="F62" s="29"/>
      <c r="G62" s="30" t="str">
        <f>Source!DI38</f>
        <v/>
      </c>
      <c r="H62" s="29">
        <f>Source!AV38</f>
        <v>1.0469999999999999</v>
      </c>
      <c r="I62" s="29"/>
      <c r="J62" s="29"/>
      <c r="K62" s="31">
        <f>Source!U38</f>
        <v>767.17417320000004</v>
      </c>
    </row>
    <row r="63" spans="1:25">
      <c r="I63" s="64">
        <f>Source!S38+Source!Q38+SUM(J56:J61)</f>
        <v>1108374.5599999998</v>
      </c>
      <c r="J63" s="64"/>
      <c r="K63" s="32">
        <f>IF(Source!I38&lt;&gt;0,ROUND(I63/Source!I38,2),0)</f>
        <v>450558.76</v>
      </c>
      <c r="N63" s="12">
        <f>I63</f>
        <v>1108374.5599999998</v>
      </c>
      <c r="O63">
        <f>ROUND(IF( Source!BI38 = 1,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25292.87</v>
      </c>
      <c r="P63">
        <f>ROUND(IF( Source!BI38 = 2,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Q63">
        <f>ROUND(IF( Source!BI38 = 3,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R63">
        <f>ROUND(IF( Source!BI38 = 4, (ROUND((Source!CT38/IF(Source!BA38&lt;&gt; 0, Source!BA38,1) * Source!I38), 2)+ROUND((Source!CR38/IF(Source!BB38&lt;&gt; 0, Source!BB38,1) * Source!I38), 2)+ROUND((Source!CQ38/IF(Source!BC38&lt;&gt; 0, Source!BC38,1) * Source!I38), 2)+((Source!DN38/100)*ROUND((Source!CT38/IF(Source!BA38&lt;&gt;0,Source!BA38,1) * Source!I38), 2))+((Source!DO38/100)*ROUND((Source!CT38/IF(Source!BA38&lt;&gt;0,Source!BA38,1) * Source!I38), 2))+(ROUND((Source!CS38/IF(Source!BS38&lt;&gt;0,Source!BS38,1) * Source!I38), 2)* 1.75)), 0 ), 2)</f>
        <v>0</v>
      </c>
      <c r="U63">
        <f>IF( Source!BI38 = 1, Source!O38 + Source!X38 + Source!Y38 + Source!R38*167/100, 0 )</f>
        <v>255517.6</v>
      </c>
      <c r="V63">
        <f>IF( Source!BI38 = 2, Source!O38 + Source!X38 + Source!Y38 + Source!R38*167/100, 0 )</f>
        <v>0</v>
      </c>
      <c r="W63">
        <f>IF( Source!BI38 = 3, Source!O38 + Source!X38 + Source!Y38 + Source!R38*167/100, 0 )</f>
        <v>0</v>
      </c>
      <c r="X63">
        <f>IF( Source!BI38 = 4, Source!O38 + Source!X38 + Source!Y38 + Source!R38*167/100, 0 )</f>
        <v>0</v>
      </c>
    </row>
    <row r="65" spans="1:11" s="8" customFormat="1">
      <c r="C65" s="8" t="s">
        <v>221</v>
      </c>
      <c r="I65" s="62">
        <f>SUM(N28:N64)</f>
        <v>5932516.3700000001</v>
      </c>
      <c r="J65" s="62"/>
    </row>
    <row r="67" spans="1:11">
      <c r="C67" s="33"/>
      <c r="D67" s="68"/>
      <c r="E67" s="68"/>
      <c r="F67" s="68"/>
      <c r="G67" s="68"/>
      <c r="H67" s="68"/>
      <c r="I67" s="68"/>
      <c r="J67" s="68"/>
      <c r="K67" s="68"/>
    </row>
    <row r="68" spans="1:11">
      <c r="C68" s="65" t="str">
        <f>Source!H75</f>
        <v>ИТОГО</v>
      </c>
      <c r="D68" s="65"/>
      <c r="E68" s="65"/>
      <c r="F68" s="65"/>
      <c r="G68" s="65"/>
      <c r="H68" s="65"/>
      <c r="I68" s="65"/>
      <c r="J68" s="66"/>
      <c r="K68" s="67"/>
    </row>
    <row r="69" spans="1:11">
      <c r="C69" s="65" t="str">
        <f>Source!H76</f>
        <v>НДС-18%</v>
      </c>
      <c r="D69" s="65"/>
      <c r="E69" s="65"/>
      <c r="F69" s="65"/>
      <c r="G69" s="65"/>
      <c r="H69" s="65"/>
      <c r="I69" s="65"/>
      <c r="J69" s="66"/>
      <c r="K69" s="67"/>
    </row>
    <row r="70" spans="1:11">
      <c r="C70" s="65" t="str">
        <f>Source!H77</f>
        <v>Всего</v>
      </c>
      <c r="D70" s="65"/>
      <c r="E70" s="65"/>
      <c r="F70" s="65"/>
      <c r="G70" s="65"/>
      <c r="H70" s="65"/>
      <c r="I70" s="65"/>
      <c r="J70" s="66"/>
      <c r="K70" s="67"/>
    </row>
    <row r="71" spans="1:11" s="8" customFormat="1">
      <c r="C71" s="8" t="s">
        <v>248</v>
      </c>
      <c r="I71" s="98"/>
      <c r="J71" s="98"/>
      <c r="K71" s="98"/>
    </row>
    <row r="75" spans="1:11">
      <c r="A75" t="s">
        <v>222</v>
      </c>
      <c r="C75" s="34" t="str">
        <f>IF(Source!AO12&lt;&gt;"",Source!AO12," ")</f>
        <v xml:space="preserve"> </v>
      </c>
      <c r="D75" s="34"/>
      <c r="E75" s="34"/>
      <c r="F75" s="96"/>
      <c r="G75" s="97"/>
      <c r="H75" t="str">
        <f>IF(Source!R12&lt;&gt;"",Source!R12," ")</f>
        <v xml:space="preserve"> </v>
      </c>
    </row>
    <row r="76" spans="1:11" s="35" customFormat="1" ht="11.25">
      <c r="C76" s="63" t="s">
        <v>223</v>
      </c>
      <c r="D76" s="63"/>
      <c r="E76" s="63"/>
      <c r="F76" s="63"/>
      <c r="G76" s="63"/>
    </row>
    <row r="78" spans="1:11">
      <c r="A78" t="s">
        <v>224</v>
      </c>
      <c r="C78" s="34" t="str">
        <f>IF(Source!AP12&lt;&gt;"",Source!AP12," ")</f>
        <v xml:space="preserve"> </v>
      </c>
      <c r="D78" s="34"/>
      <c r="E78" s="34"/>
      <c r="F78" s="96"/>
      <c r="G78" s="97"/>
      <c r="H78" t="str">
        <f>IF(Source!S12&lt;&gt;"",Source!S12," ")</f>
        <v xml:space="preserve"> </v>
      </c>
    </row>
    <row r="79" spans="1:11" s="35" customFormat="1" ht="11.25">
      <c r="C79" s="63" t="s">
        <v>223</v>
      </c>
      <c r="D79" s="63"/>
      <c r="E79" s="63"/>
      <c r="F79" s="63"/>
      <c r="G79" s="63"/>
    </row>
  </sheetData>
  <mergeCells count="29">
    <mergeCell ref="C79:G79"/>
    <mergeCell ref="I63:J63"/>
    <mergeCell ref="I65:J65"/>
    <mergeCell ref="D67:K67"/>
    <mergeCell ref="C68:I68"/>
    <mergeCell ref="J68:K68"/>
    <mergeCell ref="F75:G75"/>
    <mergeCell ref="F78:G78"/>
    <mergeCell ref="C70:I70"/>
    <mergeCell ref="J70:K70"/>
    <mergeCell ref="C76:G76"/>
    <mergeCell ref="I71:K71"/>
    <mergeCell ref="C69:I69"/>
    <mergeCell ref="J69:K69"/>
    <mergeCell ref="A13:K13"/>
    <mergeCell ref="A14:K14"/>
    <mergeCell ref="B15:K15"/>
    <mergeCell ref="F3:I3"/>
    <mergeCell ref="A5:B5"/>
    <mergeCell ref="C5:D5"/>
    <mergeCell ref="C7:D7"/>
    <mergeCell ref="H7:K7"/>
    <mergeCell ref="F5:K5"/>
    <mergeCell ref="F4:I4"/>
    <mergeCell ref="I53:J53"/>
    <mergeCell ref="A17:K17"/>
    <mergeCell ref="G22:I22"/>
    <mergeCell ref="I37:J37"/>
    <mergeCell ref="I47:J47"/>
  </mergeCells>
  <pageMargins left="0.23" right="0.17" top="0.75" bottom="0.75" header="0.3" footer="0.3"/>
  <pageSetup paperSize="9" scale="80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K81"/>
  <sheetViews>
    <sheetView topLeftCell="B64" workbookViewId="0">
      <selection activeCell="G39" sqref="G39"/>
    </sheetView>
  </sheetViews>
  <sheetFormatPr defaultRowHeight="12.75"/>
  <cols>
    <col min="7" max="7" width="73.28515625" customWidth="1"/>
    <col min="8" max="8" width="23.140625" customWidth="1"/>
  </cols>
  <sheetData>
    <row r="1" spans="1:104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44242</v>
      </c>
    </row>
    <row r="12" spans="1:104">
      <c r="A12" s="1">
        <v>1</v>
      </c>
      <c r="B12" s="1">
        <v>1</v>
      </c>
      <c r="C12" s="1">
        <v>0</v>
      </c>
      <c r="D12" s="1">
        <f>ROW(A60)</f>
        <v>60</v>
      </c>
      <c r="E12" s="1">
        <v>0</v>
      </c>
      <c r="F12" s="1" t="s">
        <v>4</v>
      </c>
      <c r="G12" s="1" t="s">
        <v>245</v>
      </c>
      <c r="H12" s="1" t="s">
        <v>5</v>
      </c>
      <c r="I12" s="1">
        <v>0</v>
      </c>
      <c r="J12" s="1" t="s">
        <v>5</v>
      </c>
      <c r="K12" s="1" t="s">
        <v>5</v>
      </c>
      <c r="L12" s="1" t="s">
        <v>5</v>
      </c>
      <c r="M12" s="1" t="s">
        <v>5</v>
      </c>
      <c r="N12" s="1" t="s">
        <v>5</v>
      </c>
      <c r="O12" s="1" t="s">
        <v>6</v>
      </c>
      <c r="P12" s="1">
        <v>2012</v>
      </c>
      <c r="Q12" s="1">
        <v>5</v>
      </c>
      <c r="R12" s="1" t="s">
        <v>5</v>
      </c>
      <c r="S12" s="1" t="s">
        <v>5</v>
      </c>
      <c r="T12" s="1" t="s">
        <v>5</v>
      </c>
      <c r="U12" s="1" t="s">
        <v>5</v>
      </c>
      <c r="V12" s="1">
        <v>-3</v>
      </c>
      <c r="W12" s="1" t="s">
        <v>5</v>
      </c>
      <c r="X12" s="1">
        <v>0</v>
      </c>
      <c r="Y12" s="1">
        <v>2</v>
      </c>
      <c r="Z12" s="1">
        <v>2</v>
      </c>
      <c r="AA12" s="1">
        <v>1</v>
      </c>
      <c r="AB12" s="1"/>
      <c r="AC12" s="1">
        <v>1</v>
      </c>
      <c r="AD12" s="1">
        <v>2</v>
      </c>
      <c r="AE12" s="1">
        <v>0</v>
      </c>
      <c r="AF12" s="1">
        <v>0</v>
      </c>
      <c r="AG12" s="1">
        <v>1</v>
      </c>
      <c r="AH12" s="1">
        <v>0</v>
      </c>
      <c r="AI12" s="1">
        <v>1</v>
      </c>
      <c r="AJ12" s="1">
        <v>100</v>
      </c>
      <c r="AK12" s="1">
        <v>67</v>
      </c>
      <c r="AL12" s="1" t="s">
        <v>5</v>
      </c>
      <c r="AM12" s="1" t="s">
        <v>5</v>
      </c>
      <c r="AN12" s="1">
        <v>0</v>
      </c>
      <c r="AO12" s="1" t="s">
        <v>5</v>
      </c>
      <c r="AP12" s="1" t="s">
        <v>5</v>
      </c>
      <c r="AQ12" s="1" t="s">
        <v>5</v>
      </c>
      <c r="AR12" s="1" t="s">
        <v>5</v>
      </c>
      <c r="AS12" s="1" t="s">
        <v>5</v>
      </c>
      <c r="AT12" s="1" t="s">
        <v>5</v>
      </c>
      <c r="AU12" s="1" t="s">
        <v>5</v>
      </c>
      <c r="AV12" s="1" t="s">
        <v>5</v>
      </c>
      <c r="AW12" s="1" t="s">
        <v>5</v>
      </c>
      <c r="AX12" s="1"/>
      <c r="AY12" s="1"/>
      <c r="AZ12" s="1"/>
      <c r="BA12" s="1">
        <v>167</v>
      </c>
      <c r="BB12" s="1">
        <v>100</v>
      </c>
      <c r="BC12" s="1">
        <v>67</v>
      </c>
      <c r="BD12" s="1">
        <v>14333406</v>
      </c>
      <c r="BE12" s="1" t="s">
        <v>7</v>
      </c>
      <c r="BF12" s="1" t="s">
        <v>8</v>
      </c>
      <c r="BG12" s="1">
        <v>7156650</v>
      </c>
      <c r="BH12" s="1">
        <v>0</v>
      </c>
      <c r="BI12" s="1">
        <v>1</v>
      </c>
      <c r="BJ12" s="1"/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-1</v>
      </c>
      <c r="BQ12" s="1"/>
      <c r="BR12" s="1">
        <v>2</v>
      </c>
      <c r="BS12" s="1"/>
      <c r="BT12" s="1">
        <v>167</v>
      </c>
      <c r="BU12" s="1">
        <v>1</v>
      </c>
      <c r="BV12" s="1">
        <v>1</v>
      </c>
      <c r="BW12" s="1">
        <v>0</v>
      </c>
      <c r="BX12" s="1">
        <v>0</v>
      </c>
      <c r="BY12" s="1">
        <v>0</v>
      </c>
      <c r="BZ12" s="1">
        <v>0</v>
      </c>
      <c r="CA12" s="1">
        <v>7155514</v>
      </c>
      <c r="CB12" s="1">
        <v>7155498</v>
      </c>
      <c r="CC12" s="1">
        <v>7155496</v>
      </c>
      <c r="CD12" s="1">
        <v>7155494</v>
      </c>
      <c r="CE12" s="1">
        <v>0</v>
      </c>
      <c r="CF12" s="1">
        <v>0</v>
      </c>
      <c r="CG12" s="1" t="s">
        <v>5</v>
      </c>
      <c r="CH12" s="1" t="s">
        <v>5</v>
      </c>
      <c r="CI12" s="1" t="s">
        <v>5</v>
      </c>
      <c r="CJ12" s="1">
        <v>0</v>
      </c>
      <c r="CK12" s="1">
        <v>7182713</v>
      </c>
      <c r="CL12" s="1" t="s">
        <v>9</v>
      </c>
      <c r="CM12" s="1" t="s">
        <v>10</v>
      </c>
      <c r="CN12" s="1" t="s">
        <v>11</v>
      </c>
      <c r="CO12" s="1" t="s">
        <v>11</v>
      </c>
      <c r="CP12" s="1" t="s">
        <v>11</v>
      </c>
      <c r="CQ12" s="1" t="s">
        <v>11</v>
      </c>
      <c r="CR12" s="1" t="s">
        <v>12</v>
      </c>
      <c r="CS12" s="1">
        <v>8739335</v>
      </c>
      <c r="CT12" s="1">
        <v>0</v>
      </c>
      <c r="CU12" s="1">
        <v>0</v>
      </c>
      <c r="CV12" s="1">
        <v>7534351</v>
      </c>
      <c r="CW12" s="1">
        <v>13318687</v>
      </c>
      <c r="CX12" s="1">
        <v>14257611</v>
      </c>
      <c r="CY12" s="1">
        <v>8</v>
      </c>
      <c r="CZ12" s="1" t="s">
        <v>5</v>
      </c>
    </row>
    <row r="15" spans="1:104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</row>
    <row r="18" spans="1:193">
      <c r="A18" s="2">
        <v>52</v>
      </c>
      <c r="B18" s="2">
        <f t="shared" ref="B18:AQ18" si="0">B60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выполнение работ по разметке площадок для расстановки пожарной (специальной) техники 132 шт.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4021607.13</v>
      </c>
      <c r="P18" s="2">
        <f t="shared" si="0"/>
        <v>1584427.49</v>
      </c>
      <c r="Q18" s="2">
        <f t="shared" si="0"/>
        <v>1712613.5</v>
      </c>
      <c r="R18" s="2">
        <f t="shared" si="0"/>
        <v>469620.76</v>
      </c>
      <c r="S18" s="2">
        <f t="shared" si="0"/>
        <v>724566.14</v>
      </c>
      <c r="T18" s="2">
        <f t="shared" si="0"/>
        <v>0</v>
      </c>
      <c r="U18" s="2">
        <f t="shared" si="0"/>
        <v>4817.01</v>
      </c>
      <c r="V18" s="2">
        <f t="shared" si="0"/>
        <v>0</v>
      </c>
      <c r="W18" s="2">
        <f t="shared" si="0"/>
        <v>0</v>
      </c>
      <c r="X18" s="2">
        <f t="shared" si="0"/>
        <v>822324.77</v>
      </c>
      <c r="Y18" s="2">
        <f t="shared" si="0"/>
        <v>304317.78000000003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  <c r="AN18" s="2">
        <f t="shared" si="0"/>
        <v>0</v>
      </c>
      <c r="AO18" s="2">
        <f t="shared" si="0"/>
        <v>0</v>
      </c>
      <c r="AP18" s="2">
        <f t="shared" si="0"/>
        <v>0</v>
      </c>
      <c r="AQ18" s="2">
        <f t="shared" si="0"/>
        <v>0</v>
      </c>
    </row>
    <row r="19" spans="1:193">
      <c r="G19">
        <v>0</v>
      </c>
    </row>
    <row r="20" spans="1:193">
      <c r="A20" s="1">
        <v>3</v>
      </c>
      <c r="B20" s="1">
        <v>1</v>
      </c>
      <c r="C20" s="1"/>
      <c r="D20" s="1">
        <f>ROW(A44)</f>
        <v>44</v>
      </c>
      <c r="E20" s="1"/>
      <c r="F20" s="1" t="s">
        <v>13</v>
      </c>
      <c r="G20" s="1" t="s">
        <v>13</v>
      </c>
      <c r="H20" s="1"/>
      <c r="I20" s="1"/>
      <c r="J20" s="1" t="s">
        <v>5</v>
      </c>
      <c r="K20" s="1"/>
      <c r="L20" s="1"/>
      <c r="M20" s="1"/>
      <c r="N20" s="1" t="s">
        <v>5</v>
      </c>
      <c r="O20" s="1"/>
      <c r="P20" s="1"/>
      <c r="Q20" s="1"/>
      <c r="R20" s="1" t="s">
        <v>5</v>
      </c>
      <c r="S20" s="1" t="s">
        <v>5</v>
      </c>
      <c r="T20" s="1" t="s">
        <v>5</v>
      </c>
      <c r="U20" s="1" t="s">
        <v>5</v>
      </c>
      <c r="V20" s="1"/>
      <c r="W20" s="1"/>
      <c r="X20" s="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0</v>
      </c>
      <c r="AM20" s="1"/>
      <c r="AN20" s="1"/>
      <c r="AO20" s="1" t="s">
        <v>5</v>
      </c>
      <c r="AP20" s="1" t="s">
        <v>5</v>
      </c>
      <c r="AQ20" s="1" t="s">
        <v>5</v>
      </c>
      <c r="AR20" s="1"/>
      <c r="AS20" s="1"/>
      <c r="AT20" s="1" t="s">
        <v>5</v>
      </c>
      <c r="AU20" s="1" t="s">
        <v>5</v>
      </c>
      <c r="AV20" s="1" t="s">
        <v>5</v>
      </c>
      <c r="AW20" s="1" t="s">
        <v>5</v>
      </c>
      <c r="AX20" s="1" t="s">
        <v>5</v>
      </c>
      <c r="AY20" s="1" t="s">
        <v>5</v>
      </c>
      <c r="AZ20" s="1" t="s">
        <v>5</v>
      </c>
      <c r="BA20" s="1" t="s">
        <v>5</v>
      </c>
      <c r="BB20" s="1" t="s">
        <v>5</v>
      </c>
      <c r="BC20" s="1" t="s">
        <v>5</v>
      </c>
      <c r="BD20" s="1" t="s">
        <v>5</v>
      </c>
      <c r="BE20" s="1" t="s">
        <v>14</v>
      </c>
      <c r="BF20" s="1">
        <v>0</v>
      </c>
      <c r="BG20" s="1">
        <v>0</v>
      </c>
      <c r="BH20" s="1" t="s">
        <v>5</v>
      </c>
      <c r="BI20" s="1" t="s">
        <v>5</v>
      </c>
      <c r="BJ20" s="1" t="s">
        <v>5</v>
      </c>
      <c r="BK20" s="1" t="s">
        <v>5</v>
      </c>
      <c r="BL20" s="1" t="s">
        <v>5</v>
      </c>
      <c r="BM20" s="1">
        <v>0</v>
      </c>
      <c r="BN20" s="1" t="s">
        <v>5</v>
      </c>
      <c r="BO20" s="1" t="s">
        <v>5</v>
      </c>
    </row>
    <row r="22" spans="1:193">
      <c r="A22" s="2">
        <v>52</v>
      </c>
      <c r="B22" s="2">
        <f t="shared" ref="B22:AQ22" si="1">B44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Новая локальная смета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4021607.13</v>
      </c>
      <c r="P22" s="2">
        <f t="shared" si="1"/>
        <v>1584427.49</v>
      </c>
      <c r="Q22" s="2">
        <f t="shared" si="1"/>
        <v>1712613.5</v>
      </c>
      <c r="R22" s="2">
        <f t="shared" si="1"/>
        <v>469620.76</v>
      </c>
      <c r="S22" s="2">
        <f t="shared" si="1"/>
        <v>724566.14</v>
      </c>
      <c r="T22" s="2">
        <f t="shared" si="1"/>
        <v>0</v>
      </c>
      <c r="U22" s="2">
        <f t="shared" si="1"/>
        <v>4817.01</v>
      </c>
      <c r="V22" s="2">
        <f t="shared" si="1"/>
        <v>0</v>
      </c>
      <c r="W22" s="2">
        <f t="shared" si="1"/>
        <v>0</v>
      </c>
      <c r="X22" s="2">
        <f t="shared" si="1"/>
        <v>822324.77</v>
      </c>
      <c r="Y22" s="2">
        <f t="shared" si="1"/>
        <v>304317.78000000003</v>
      </c>
      <c r="Z22" s="2">
        <f t="shared" si="1"/>
        <v>0</v>
      </c>
      <c r="AA22" s="2">
        <f t="shared" si="1"/>
        <v>0</v>
      </c>
      <c r="AB22" s="2">
        <f t="shared" si="1"/>
        <v>4021607.13</v>
      </c>
      <c r="AC22" s="2">
        <f t="shared" si="1"/>
        <v>1584427.49</v>
      </c>
      <c r="AD22" s="2">
        <f t="shared" si="1"/>
        <v>1712613.5</v>
      </c>
      <c r="AE22" s="2">
        <f t="shared" si="1"/>
        <v>469620.76</v>
      </c>
      <c r="AF22" s="2">
        <f t="shared" si="1"/>
        <v>724566.14</v>
      </c>
      <c r="AG22" s="2">
        <f t="shared" si="1"/>
        <v>0</v>
      </c>
      <c r="AH22" s="2">
        <f t="shared" si="1"/>
        <v>4817.01</v>
      </c>
      <c r="AI22" s="2">
        <f t="shared" si="1"/>
        <v>0</v>
      </c>
      <c r="AJ22" s="2">
        <f t="shared" si="1"/>
        <v>0</v>
      </c>
      <c r="AK22" s="2">
        <f t="shared" si="1"/>
        <v>822324.77</v>
      </c>
      <c r="AL22" s="2">
        <f t="shared" si="1"/>
        <v>304317.78000000003</v>
      </c>
      <c r="AM22" s="2">
        <f t="shared" si="1"/>
        <v>0</v>
      </c>
      <c r="AN22" s="2">
        <f t="shared" si="1"/>
        <v>0</v>
      </c>
      <c r="AO22" s="2">
        <f t="shared" si="1"/>
        <v>0</v>
      </c>
      <c r="AP22" s="2">
        <f t="shared" si="1"/>
        <v>0</v>
      </c>
      <c r="AQ22" s="2">
        <f t="shared" si="1"/>
        <v>0</v>
      </c>
    </row>
    <row r="24" spans="1:193">
      <c r="A24">
        <v>17</v>
      </c>
      <c r="B24">
        <v>1</v>
      </c>
      <c r="C24">
        <f>ROW(SmtRes!A6)</f>
        <v>6</v>
      </c>
      <c r="D24">
        <f>ROW(EtalonRes!A3)</f>
        <v>3</v>
      </c>
      <c r="E24" t="s">
        <v>15</v>
      </c>
      <c r="F24" t="s">
        <v>16</v>
      </c>
      <c r="G24" t="s">
        <v>17</v>
      </c>
      <c r="H24" t="s">
        <v>18</v>
      </c>
      <c r="I24">
        <v>8804</v>
      </c>
      <c r="J24">
        <v>0</v>
      </c>
      <c r="O24">
        <f t="shared" ref="O24:O42" si="2">ROUND(CP24,2)</f>
        <v>1162453.3899999999</v>
      </c>
      <c r="P24">
        <f t="shared" ref="P24:P42" si="3">ROUND(CQ24*I24,2)</f>
        <v>0</v>
      </c>
      <c r="Q24">
        <f t="shared" ref="Q24:Q42" si="4">ROUND(CR24*I24,2)</f>
        <v>856306.75</v>
      </c>
      <c r="R24">
        <f t="shared" ref="R24:R42" si="5">ROUND(CS24*I24,2)</f>
        <v>234810.38</v>
      </c>
      <c r="S24">
        <f t="shared" ref="S24:S42" si="6">ROUND(CT24*I24,2)</f>
        <v>306146.64</v>
      </c>
      <c r="T24">
        <f t="shared" ref="T24:T42" si="7">ROUND(CU24*I24,2)</f>
        <v>0</v>
      </c>
      <c r="U24">
        <f t="shared" ref="U24:U42" si="8">CV24*I24</f>
        <v>2024.9199999999998</v>
      </c>
      <c r="V24">
        <f t="shared" ref="V24:V42" si="9">CW24*I24</f>
        <v>0</v>
      </c>
      <c r="W24">
        <f t="shared" ref="W24:W42" si="10">ROUND(CX24*I24,2)</f>
        <v>0</v>
      </c>
      <c r="X24">
        <f t="shared" ref="X24:X42" si="11">ROUND(CY24,2)</f>
        <v>367375.97</v>
      </c>
      <c r="Y24">
        <f t="shared" ref="Y24:Y42" si="12">ROUND(CZ24,2)</f>
        <v>128581.59</v>
      </c>
      <c r="AA24">
        <v>0</v>
      </c>
      <c r="AB24">
        <f t="shared" ref="AB24:AB42" si="13">(AC24+AD24+AF24)</f>
        <v>49.193999999999996</v>
      </c>
      <c r="AC24">
        <f>(ES24)</f>
        <v>0</v>
      </c>
      <c r="AD24">
        <f>((ET24*1.25))</f>
        <v>46.537499999999994</v>
      </c>
      <c r="AE24">
        <f>((EU24*1.25))</f>
        <v>2.0374999999999996</v>
      </c>
      <c r="AF24">
        <f>((EV24*1.15))</f>
        <v>2.6564999999999999</v>
      </c>
      <c r="AG24">
        <f>(AP24)</f>
        <v>0</v>
      </c>
      <c r="AH24">
        <f>((EW24*1.15))</f>
        <v>0.22999999999999998</v>
      </c>
      <c r="AI24">
        <f>((EX24*1.25))</f>
        <v>0</v>
      </c>
      <c r="AJ24">
        <f>(AS24)</f>
        <v>0</v>
      </c>
      <c r="AK24">
        <v>39.54</v>
      </c>
      <c r="AL24">
        <v>0</v>
      </c>
      <c r="AM24">
        <v>37.229999999999997</v>
      </c>
      <c r="AN24">
        <v>1.63</v>
      </c>
      <c r="AO24">
        <v>2.31</v>
      </c>
      <c r="AP24">
        <v>0</v>
      </c>
      <c r="AQ24">
        <v>0.2</v>
      </c>
      <c r="AR24">
        <v>0</v>
      </c>
      <c r="AS24">
        <v>0</v>
      </c>
      <c r="AT24">
        <v>120</v>
      </c>
      <c r="AU24">
        <v>42</v>
      </c>
      <c r="AV24">
        <v>1</v>
      </c>
      <c r="AW24">
        <v>1</v>
      </c>
      <c r="AX24">
        <v>1</v>
      </c>
      <c r="AY24">
        <v>1</v>
      </c>
      <c r="AZ24">
        <v>13.09</v>
      </c>
      <c r="BA24">
        <v>13.09</v>
      </c>
      <c r="BB24">
        <v>2.09</v>
      </c>
      <c r="BC24">
        <v>1</v>
      </c>
      <c r="BD24" t="s">
        <v>5</v>
      </c>
      <c r="BE24" t="s">
        <v>5</v>
      </c>
      <c r="BF24" t="s">
        <v>5</v>
      </c>
      <c r="BG24" t="s">
        <v>5</v>
      </c>
      <c r="BH24">
        <v>0</v>
      </c>
      <c r="BI24">
        <v>1</v>
      </c>
      <c r="BJ24" t="s">
        <v>19</v>
      </c>
      <c r="BM24">
        <v>170</v>
      </c>
      <c r="BN24">
        <v>0</v>
      </c>
      <c r="BO24" t="s">
        <v>16</v>
      </c>
      <c r="BP24">
        <v>1</v>
      </c>
      <c r="BQ24">
        <v>30</v>
      </c>
      <c r="BR24">
        <v>0</v>
      </c>
      <c r="BS24">
        <v>13.09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5</v>
      </c>
      <c r="BZ24">
        <v>120</v>
      </c>
      <c r="CA24">
        <v>42</v>
      </c>
      <c r="CF24">
        <v>0</v>
      </c>
      <c r="CG24">
        <v>0</v>
      </c>
      <c r="CM24">
        <v>0</v>
      </c>
      <c r="CN24" t="s">
        <v>5</v>
      </c>
      <c r="CO24">
        <v>0</v>
      </c>
      <c r="CP24">
        <f t="shared" ref="CP24:CP42" si="14">(P24+Q24+S24)</f>
        <v>1162453.3900000001</v>
      </c>
      <c r="CQ24">
        <f t="shared" ref="CQ24:CQ42" si="15">((AC24*AW24))*BC24</f>
        <v>0</v>
      </c>
      <c r="CR24">
        <f t="shared" ref="CR24:CR42" si="16">((AD24*AV24))*BB24</f>
        <v>97.263374999999982</v>
      </c>
      <c r="CS24">
        <f t="shared" ref="CS24:CS42" si="17">((AE24*AV24))*BS24</f>
        <v>26.670874999999995</v>
      </c>
      <c r="CT24">
        <f t="shared" ref="CT24:CT42" si="18">((AF24*AV24))*BA24</f>
        <v>34.773584999999997</v>
      </c>
      <c r="CU24">
        <f t="shared" ref="CU24:CU42" si="19">(AG24)*BT24</f>
        <v>0</v>
      </c>
      <c r="CV24">
        <f t="shared" ref="CV24:CV42" si="20">((AH24*AV24))*BU24</f>
        <v>0.22999999999999998</v>
      </c>
      <c r="CW24">
        <f t="shared" ref="CW24:CW42" si="21">(AI24)*BV24</f>
        <v>0</v>
      </c>
      <c r="CX24">
        <f t="shared" ref="CX24:CX42" si="22">(AJ24)*BW24</f>
        <v>0</v>
      </c>
      <c r="CY24">
        <f t="shared" ref="CY24:CY42" si="23">S24*(BZ24/100)</f>
        <v>367375.96799999999</v>
      </c>
      <c r="CZ24">
        <f t="shared" ref="CZ24:CZ42" si="24">S24*(CA24/100)</f>
        <v>128581.5888</v>
      </c>
      <c r="DC24" t="s">
        <v>5</v>
      </c>
      <c r="DD24" t="s">
        <v>5</v>
      </c>
      <c r="DE24" t="s">
        <v>20</v>
      </c>
      <c r="DF24" t="s">
        <v>20</v>
      </c>
      <c r="DG24" t="s">
        <v>21</v>
      </c>
      <c r="DH24" t="s">
        <v>5</v>
      </c>
      <c r="DI24" t="s">
        <v>21</v>
      </c>
      <c r="DJ24" t="s">
        <v>20</v>
      </c>
      <c r="DK24" t="s">
        <v>5</v>
      </c>
      <c r="DL24" t="s">
        <v>5</v>
      </c>
      <c r="DM24" t="s">
        <v>5</v>
      </c>
      <c r="DN24">
        <v>140</v>
      </c>
      <c r="DO24">
        <v>79</v>
      </c>
      <c r="DP24">
        <v>1</v>
      </c>
      <c r="DQ24">
        <v>1</v>
      </c>
      <c r="DR24">
        <v>1</v>
      </c>
      <c r="DS24">
        <v>1</v>
      </c>
      <c r="DT24">
        <v>1</v>
      </c>
      <c r="DU24">
        <v>1005</v>
      </c>
      <c r="DV24" t="s">
        <v>18</v>
      </c>
      <c r="DW24" t="s">
        <v>18</v>
      </c>
      <c r="DX24">
        <v>1</v>
      </c>
      <c r="EE24">
        <v>14030029</v>
      </c>
      <c r="EF24">
        <v>30</v>
      </c>
      <c r="EG24" t="s">
        <v>22</v>
      </c>
      <c r="EH24">
        <v>0</v>
      </c>
      <c r="EI24" t="s">
        <v>5</v>
      </c>
      <c r="EJ24">
        <v>1</v>
      </c>
      <c r="EK24">
        <v>170</v>
      </c>
      <c r="EL24" t="s">
        <v>23</v>
      </c>
      <c r="EM24" t="s">
        <v>24</v>
      </c>
      <c r="EO24" t="s">
        <v>5</v>
      </c>
      <c r="EQ24">
        <v>64</v>
      </c>
      <c r="ER24">
        <v>39.54</v>
      </c>
      <c r="ES24">
        <v>0</v>
      </c>
      <c r="ET24">
        <v>37.229999999999997</v>
      </c>
      <c r="EU24">
        <v>1.63</v>
      </c>
      <c r="EV24">
        <v>2.31</v>
      </c>
      <c r="EW24">
        <v>0.2</v>
      </c>
      <c r="EX24">
        <v>0</v>
      </c>
      <c r="EY24">
        <v>0</v>
      </c>
      <c r="EZ24">
        <v>0</v>
      </c>
      <c r="FQ24">
        <v>0</v>
      </c>
      <c r="FR24">
        <f t="shared" ref="FR24:FR42" si="25">ROUND(IF(AND(AA24=0,BI24=3),P24,0),2)</f>
        <v>0</v>
      </c>
      <c r="FS24">
        <v>0</v>
      </c>
      <c r="FX24">
        <v>120</v>
      </c>
      <c r="FY24">
        <v>42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</row>
    <row r="25" spans="1:193">
      <c r="A25">
        <v>18</v>
      </c>
      <c r="B25">
        <v>1</v>
      </c>
      <c r="C25">
        <v>4</v>
      </c>
      <c r="E25" t="s">
        <v>25</v>
      </c>
      <c r="F25" t="s">
        <v>26</v>
      </c>
      <c r="G25" t="s">
        <v>27</v>
      </c>
      <c r="H25" t="s">
        <v>28</v>
      </c>
      <c r="I25">
        <f>I24*J25</f>
        <v>4.660352564814815</v>
      </c>
      <c r="J25">
        <v>5.2934490740740741E-4</v>
      </c>
      <c r="O25">
        <f t="shared" si="2"/>
        <v>315189.75</v>
      </c>
      <c r="P25">
        <f t="shared" si="3"/>
        <v>315189.75</v>
      </c>
      <c r="Q25">
        <f t="shared" si="4"/>
        <v>0</v>
      </c>
      <c r="R25">
        <f t="shared" si="5"/>
        <v>0</v>
      </c>
      <c r="S25">
        <f t="shared" si="6"/>
        <v>0</v>
      </c>
      <c r="T25">
        <f t="shared" si="7"/>
        <v>0</v>
      </c>
      <c r="U25">
        <f t="shared" si="8"/>
        <v>0</v>
      </c>
      <c r="V25">
        <f t="shared" si="9"/>
        <v>0</v>
      </c>
      <c r="W25">
        <f t="shared" si="10"/>
        <v>0</v>
      </c>
      <c r="X25">
        <f t="shared" si="11"/>
        <v>0</v>
      </c>
      <c r="Y25">
        <f t="shared" si="12"/>
        <v>0</v>
      </c>
      <c r="AA25">
        <v>0</v>
      </c>
      <c r="AB25">
        <f t="shared" si="13"/>
        <v>32831.15</v>
      </c>
      <c r="AC25">
        <f t="shared" ref="AC25:AJ28" si="26">AL25</f>
        <v>32831.15</v>
      </c>
      <c r="AD25">
        <f t="shared" si="26"/>
        <v>0</v>
      </c>
      <c r="AE25">
        <f t="shared" si="26"/>
        <v>0</v>
      </c>
      <c r="AF25">
        <f t="shared" si="26"/>
        <v>0</v>
      </c>
      <c r="AG25">
        <f t="shared" si="26"/>
        <v>0</v>
      </c>
      <c r="AH25">
        <f t="shared" si="26"/>
        <v>0</v>
      </c>
      <c r="AI25">
        <f t="shared" si="26"/>
        <v>0</v>
      </c>
      <c r="AJ25">
        <f t="shared" si="26"/>
        <v>0</v>
      </c>
      <c r="AK25">
        <v>32831.15</v>
      </c>
      <c r="AL25">
        <v>32831.15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2.06</v>
      </c>
      <c r="BD25" t="s">
        <v>5</v>
      </c>
      <c r="BE25" t="s">
        <v>5</v>
      </c>
      <c r="BF25" t="s">
        <v>5</v>
      </c>
      <c r="BG25" t="s">
        <v>5</v>
      </c>
      <c r="BH25">
        <v>3</v>
      </c>
      <c r="BI25">
        <v>1</v>
      </c>
      <c r="BJ25" t="s">
        <v>29</v>
      </c>
      <c r="BM25">
        <v>170</v>
      </c>
      <c r="BN25">
        <v>0</v>
      </c>
      <c r="BO25" t="s">
        <v>26</v>
      </c>
      <c r="BP25">
        <v>1</v>
      </c>
      <c r="BQ25">
        <v>30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5</v>
      </c>
      <c r="BZ25">
        <v>0</v>
      </c>
      <c r="CA25">
        <v>0</v>
      </c>
      <c r="CF25">
        <v>0</v>
      </c>
      <c r="CG25">
        <v>0</v>
      </c>
      <c r="CM25">
        <v>0</v>
      </c>
      <c r="CN25" t="s">
        <v>5</v>
      </c>
      <c r="CO25">
        <v>0</v>
      </c>
      <c r="CP25">
        <f t="shared" si="14"/>
        <v>315189.75</v>
      </c>
      <c r="CQ25">
        <f t="shared" si="15"/>
        <v>67632.169000000009</v>
      </c>
      <c r="CR25">
        <f t="shared" si="16"/>
        <v>0</v>
      </c>
      <c r="CS25">
        <f t="shared" si="17"/>
        <v>0</v>
      </c>
      <c r="CT25">
        <f t="shared" si="18"/>
        <v>0</v>
      </c>
      <c r="CU25">
        <f t="shared" si="19"/>
        <v>0</v>
      </c>
      <c r="CV25">
        <f t="shared" si="20"/>
        <v>0</v>
      </c>
      <c r="CW25">
        <f t="shared" si="21"/>
        <v>0</v>
      </c>
      <c r="CX25">
        <f t="shared" si="22"/>
        <v>0</v>
      </c>
      <c r="CY25">
        <f t="shared" si="23"/>
        <v>0</v>
      </c>
      <c r="CZ25">
        <f t="shared" si="24"/>
        <v>0</v>
      </c>
      <c r="DC25" t="s">
        <v>5</v>
      </c>
      <c r="DD25" t="s">
        <v>5</v>
      </c>
      <c r="DE25" t="s">
        <v>5</v>
      </c>
      <c r="DF25" t="s">
        <v>5</v>
      </c>
      <c r="DG25" t="s">
        <v>5</v>
      </c>
      <c r="DH25" t="s">
        <v>5</v>
      </c>
      <c r="DI25" t="s">
        <v>5</v>
      </c>
      <c r="DJ25" t="s">
        <v>5</v>
      </c>
      <c r="DK25" t="s">
        <v>5</v>
      </c>
      <c r="DL25" t="s">
        <v>5</v>
      </c>
      <c r="DM25" t="s">
        <v>5</v>
      </c>
      <c r="DN25">
        <v>140</v>
      </c>
      <c r="DO25">
        <v>79</v>
      </c>
      <c r="DP25">
        <v>1</v>
      </c>
      <c r="DQ25">
        <v>1</v>
      </c>
      <c r="DR25">
        <v>1</v>
      </c>
      <c r="DS25">
        <v>1</v>
      </c>
      <c r="DT25">
        <v>1</v>
      </c>
      <c r="DU25">
        <v>1009</v>
      </c>
      <c r="DV25" t="s">
        <v>28</v>
      </c>
      <c r="DW25" t="s">
        <v>28</v>
      </c>
      <c r="DX25">
        <v>1000</v>
      </c>
      <c r="EE25">
        <v>14030029</v>
      </c>
      <c r="EF25">
        <v>30</v>
      </c>
      <c r="EG25" t="s">
        <v>22</v>
      </c>
      <c r="EH25">
        <v>0</v>
      </c>
      <c r="EI25" t="s">
        <v>5</v>
      </c>
      <c r="EJ25">
        <v>1</v>
      </c>
      <c r="EK25">
        <v>170</v>
      </c>
      <c r="EL25" t="s">
        <v>23</v>
      </c>
      <c r="EM25" t="s">
        <v>24</v>
      </c>
      <c r="EO25" t="s">
        <v>5</v>
      </c>
      <c r="EQ25">
        <v>0</v>
      </c>
      <c r="ER25">
        <v>0</v>
      </c>
      <c r="ES25">
        <v>32831.15</v>
      </c>
      <c r="ET25">
        <v>0</v>
      </c>
      <c r="EU25">
        <v>0</v>
      </c>
      <c r="EV25">
        <v>0</v>
      </c>
      <c r="EW25">
        <v>0</v>
      </c>
      <c r="EX25">
        <v>0</v>
      </c>
      <c r="EZ25">
        <v>0</v>
      </c>
      <c r="FQ25">
        <v>0</v>
      </c>
      <c r="FR25">
        <f t="shared" si="25"/>
        <v>0</v>
      </c>
      <c r="FS25">
        <v>0</v>
      </c>
      <c r="FX25">
        <v>0</v>
      </c>
      <c r="FY25">
        <v>0</v>
      </c>
      <c r="GA25">
        <v>32831.15</v>
      </c>
      <c r="GB25">
        <v>32831.15</v>
      </c>
      <c r="GC25">
        <v>0</v>
      </c>
      <c r="GD25">
        <v>0</v>
      </c>
      <c r="GE25">
        <v>0</v>
      </c>
      <c r="GF25">
        <v>32831.15</v>
      </c>
      <c r="GG25">
        <v>32831.15</v>
      </c>
      <c r="GH25">
        <v>0</v>
      </c>
      <c r="GI25">
        <v>0</v>
      </c>
      <c r="GJ25">
        <v>0</v>
      </c>
      <c r="GK25">
        <v>0</v>
      </c>
    </row>
    <row r="26" spans="1:193">
      <c r="A26">
        <v>18</v>
      </c>
      <c r="B26">
        <v>1</v>
      </c>
      <c r="C26">
        <v>3</v>
      </c>
      <c r="E26" t="s">
        <v>30</v>
      </c>
      <c r="F26" t="s">
        <v>31</v>
      </c>
      <c r="G26" t="s">
        <v>32</v>
      </c>
      <c r="H26" t="s">
        <v>33</v>
      </c>
      <c r="I26">
        <f>I24*J26</f>
        <v>0</v>
      </c>
      <c r="J26">
        <v>0</v>
      </c>
      <c r="O26">
        <f t="shared" si="2"/>
        <v>0</v>
      </c>
      <c r="P26">
        <f t="shared" si="3"/>
        <v>0</v>
      </c>
      <c r="Q26">
        <f t="shared" si="4"/>
        <v>0</v>
      </c>
      <c r="R26">
        <f t="shared" si="5"/>
        <v>0</v>
      </c>
      <c r="S26">
        <f t="shared" si="6"/>
        <v>0</v>
      </c>
      <c r="T26">
        <f t="shared" si="7"/>
        <v>0</v>
      </c>
      <c r="U26">
        <f t="shared" si="8"/>
        <v>0</v>
      </c>
      <c r="V26">
        <f t="shared" si="9"/>
        <v>0</v>
      </c>
      <c r="W26">
        <f t="shared" si="10"/>
        <v>0</v>
      </c>
      <c r="X26">
        <f t="shared" si="11"/>
        <v>0</v>
      </c>
      <c r="Y26">
        <f t="shared" si="12"/>
        <v>0</v>
      </c>
      <c r="AA26">
        <v>0</v>
      </c>
      <c r="AB26">
        <f t="shared" si="13"/>
        <v>42.29</v>
      </c>
      <c r="AC26">
        <f t="shared" si="26"/>
        <v>42.29</v>
      </c>
      <c r="AD26">
        <f t="shared" si="26"/>
        <v>0</v>
      </c>
      <c r="AE26">
        <f t="shared" si="26"/>
        <v>0</v>
      </c>
      <c r="AF26">
        <f t="shared" si="26"/>
        <v>0</v>
      </c>
      <c r="AG26">
        <f t="shared" si="26"/>
        <v>0</v>
      </c>
      <c r="AH26">
        <f t="shared" si="26"/>
        <v>0</v>
      </c>
      <c r="AI26">
        <f t="shared" si="26"/>
        <v>0</v>
      </c>
      <c r="AJ26">
        <f t="shared" si="26"/>
        <v>0</v>
      </c>
      <c r="AK26">
        <v>42.29</v>
      </c>
      <c r="AL26">
        <v>42.29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1.43</v>
      </c>
      <c r="BD26" t="s">
        <v>5</v>
      </c>
      <c r="BE26" t="s">
        <v>5</v>
      </c>
      <c r="BF26" t="s">
        <v>5</v>
      </c>
      <c r="BG26" t="s">
        <v>5</v>
      </c>
      <c r="BH26">
        <v>3</v>
      </c>
      <c r="BI26">
        <v>1</v>
      </c>
      <c r="BJ26" t="s">
        <v>34</v>
      </c>
      <c r="BM26">
        <v>170</v>
      </c>
      <c r="BN26">
        <v>0</v>
      </c>
      <c r="BO26" t="s">
        <v>31</v>
      </c>
      <c r="BP26">
        <v>1</v>
      </c>
      <c r="BQ26">
        <v>30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5</v>
      </c>
      <c r="BZ26">
        <v>0</v>
      </c>
      <c r="CA26">
        <v>0</v>
      </c>
      <c r="CF26">
        <v>0</v>
      </c>
      <c r="CG26">
        <v>0</v>
      </c>
      <c r="CM26">
        <v>0</v>
      </c>
      <c r="CN26" t="s">
        <v>5</v>
      </c>
      <c r="CO26">
        <v>0</v>
      </c>
      <c r="CP26">
        <f t="shared" si="14"/>
        <v>0</v>
      </c>
      <c r="CQ26">
        <f t="shared" si="15"/>
        <v>60.474699999999999</v>
      </c>
      <c r="CR26">
        <f t="shared" si="16"/>
        <v>0</v>
      </c>
      <c r="CS26">
        <f t="shared" si="17"/>
        <v>0</v>
      </c>
      <c r="CT26">
        <f t="shared" si="18"/>
        <v>0</v>
      </c>
      <c r="CU26">
        <f t="shared" si="19"/>
        <v>0</v>
      </c>
      <c r="CV26">
        <f t="shared" si="20"/>
        <v>0</v>
      </c>
      <c r="CW26">
        <f t="shared" si="21"/>
        <v>0</v>
      </c>
      <c r="CX26">
        <f t="shared" si="22"/>
        <v>0</v>
      </c>
      <c r="CY26">
        <f t="shared" si="23"/>
        <v>0</v>
      </c>
      <c r="CZ26">
        <f t="shared" si="24"/>
        <v>0</v>
      </c>
      <c r="DC26" t="s">
        <v>5</v>
      </c>
      <c r="DD26" t="s">
        <v>5</v>
      </c>
      <c r="DE26" t="s">
        <v>5</v>
      </c>
      <c r="DF26" t="s">
        <v>5</v>
      </c>
      <c r="DG26" t="s">
        <v>5</v>
      </c>
      <c r="DH26" t="s">
        <v>5</v>
      </c>
      <c r="DI26" t="s">
        <v>5</v>
      </c>
      <c r="DJ26" t="s">
        <v>5</v>
      </c>
      <c r="DK26" t="s">
        <v>5</v>
      </c>
      <c r="DL26" t="s">
        <v>5</v>
      </c>
      <c r="DM26" t="s">
        <v>5</v>
      </c>
      <c r="DN26">
        <v>140</v>
      </c>
      <c r="DO26">
        <v>79</v>
      </c>
      <c r="DP26">
        <v>1</v>
      </c>
      <c r="DQ26">
        <v>1</v>
      </c>
      <c r="DR26">
        <v>1</v>
      </c>
      <c r="DS26">
        <v>1</v>
      </c>
      <c r="DT26">
        <v>1</v>
      </c>
      <c r="DU26">
        <v>1009</v>
      </c>
      <c r="DV26" t="s">
        <v>33</v>
      </c>
      <c r="DW26" t="s">
        <v>33</v>
      </c>
      <c r="DX26">
        <v>1</v>
      </c>
      <c r="EE26">
        <v>14030029</v>
      </c>
      <c r="EF26">
        <v>30</v>
      </c>
      <c r="EG26" t="s">
        <v>22</v>
      </c>
      <c r="EH26">
        <v>0</v>
      </c>
      <c r="EI26" t="s">
        <v>5</v>
      </c>
      <c r="EJ26">
        <v>1</v>
      </c>
      <c r="EK26">
        <v>170</v>
      </c>
      <c r="EL26" t="s">
        <v>23</v>
      </c>
      <c r="EM26" t="s">
        <v>24</v>
      </c>
      <c r="EO26" t="s">
        <v>5</v>
      </c>
      <c r="EQ26">
        <v>0</v>
      </c>
      <c r="ER26">
        <v>42.29</v>
      </c>
      <c r="ES26">
        <v>42.29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0</v>
      </c>
      <c r="FQ26">
        <v>0</v>
      </c>
      <c r="FR26">
        <f t="shared" si="25"/>
        <v>0</v>
      </c>
      <c r="FS26">
        <v>0</v>
      </c>
      <c r="FX26">
        <v>0</v>
      </c>
      <c r="FY26">
        <v>0</v>
      </c>
      <c r="GA26">
        <v>42.29</v>
      </c>
      <c r="GB26">
        <v>42.29</v>
      </c>
      <c r="GC26">
        <v>0</v>
      </c>
      <c r="GD26">
        <v>0</v>
      </c>
      <c r="GE26">
        <v>0</v>
      </c>
      <c r="GF26">
        <v>42.29</v>
      </c>
      <c r="GG26">
        <v>42.29</v>
      </c>
      <c r="GH26">
        <v>0</v>
      </c>
      <c r="GI26">
        <v>0</v>
      </c>
      <c r="GJ26">
        <v>0</v>
      </c>
      <c r="GK26">
        <v>0</v>
      </c>
    </row>
    <row r="27" spans="1:193">
      <c r="A27">
        <v>18</v>
      </c>
      <c r="B27">
        <v>1</v>
      </c>
      <c r="C27">
        <v>5</v>
      </c>
      <c r="E27" t="s">
        <v>35</v>
      </c>
      <c r="F27" t="s">
        <v>36</v>
      </c>
      <c r="G27" t="s">
        <v>37</v>
      </c>
      <c r="H27" t="s">
        <v>28</v>
      </c>
      <c r="I27">
        <f>I24*J27</f>
        <v>0</v>
      </c>
      <c r="J27">
        <v>0</v>
      </c>
      <c r="O27">
        <f t="shared" si="2"/>
        <v>0</v>
      </c>
      <c r="P27">
        <f t="shared" si="3"/>
        <v>0</v>
      </c>
      <c r="Q27">
        <f t="shared" si="4"/>
        <v>0</v>
      </c>
      <c r="R27">
        <f t="shared" si="5"/>
        <v>0</v>
      </c>
      <c r="S27">
        <f t="shared" si="6"/>
        <v>0</v>
      </c>
      <c r="T27">
        <f t="shared" si="7"/>
        <v>0</v>
      </c>
      <c r="U27">
        <f t="shared" si="8"/>
        <v>0</v>
      </c>
      <c r="V27">
        <f t="shared" si="9"/>
        <v>0</v>
      </c>
      <c r="W27">
        <f t="shared" si="10"/>
        <v>0</v>
      </c>
      <c r="X27">
        <f t="shared" si="11"/>
        <v>0</v>
      </c>
      <c r="Y27">
        <f t="shared" si="12"/>
        <v>0</v>
      </c>
      <c r="AA27">
        <v>0</v>
      </c>
      <c r="AB27">
        <f t="shared" si="13"/>
        <v>34547.81</v>
      </c>
      <c r="AC27">
        <f t="shared" si="26"/>
        <v>34547.81</v>
      </c>
      <c r="AD27">
        <f t="shared" si="26"/>
        <v>0</v>
      </c>
      <c r="AE27">
        <f t="shared" si="26"/>
        <v>0</v>
      </c>
      <c r="AF27">
        <f t="shared" si="26"/>
        <v>0</v>
      </c>
      <c r="AG27">
        <f t="shared" si="26"/>
        <v>0</v>
      </c>
      <c r="AH27">
        <f t="shared" si="26"/>
        <v>0</v>
      </c>
      <c r="AI27">
        <f t="shared" si="26"/>
        <v>0</v>
      </c>
      <c r="AJ27">
        <f t="shared" si="26"/>
        <v>0</v>
      </c>
      <c r="AK27">
        <v>34547.81</v>
      </c>
      <c r="AL27">
        <v>34547.81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2.0299999999999998</v>
      </c>
      <c r="BD27" t="s">
        <v>5</v>
      </c>
      <c r="BE27" t="s">
        <v>5</v>
      </c>
      <c r="BF27" t="s">
        <v>5</v>
      </c>
      <c r="BG27" t="s">
        <v>5</v>
      </c>
      <c r="BH27">
        <v>3</v>
      </c>
      <c r="BI27">
        <v>1</v>
      </c>
      <c r="BJ27" t="s">
        <v>38</v>
      </c>
      <c r="BM27">
        <v>170</v>
      </c>
      <c r="BN27">
        <v>0</v>
      </c>
      <c r="BO27" t="s">
        <v>36</v>
      </c>
      <c r="BP27">
        <v>1</v>
      </c>
      <c r="BQ27">
        <v>30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5</v>
      </c>
      <c r="BZ27">
        <v>0</v>
      </c>
      <c r="CA27">
        <v>0</v>
      </c>
      <c r="CF27">
        <v>0</v>
      </c>
      <c r="CG27">
        <v>0</v>
      </c>
      <c r="CM27">
        <v>0</v>
      </c>
      <c r="CN27" t="s">
        <v>5</v>
      </c>
      <c r="CO27">
        <v>0</v>
      </c>
      <c r="CP27">
        <f t="shared" si="14"/>
        <v>0</v>
      </c>
      <c r="CQ27">
        <f t="shared" si="15"/>
        <v>70132.054299999989</v>
      </c>
      <c r="CR27">
        <f t="shared" si="16"/>
        <v>0</v>
      </c>
      <c r="CS27">
        <f t="shared" si="17"/>
        <v>0</v>
      </c>
      <c r="CT27">
        <f t="shared" si="18"/>
        <v>0</v>
      </c>
      <c r="CU27">
        <f t="shared" si="19"/>
        <v>0</v>
      </c>
      <c r="CV27">
        <f t="shared" si="20"/>
        <v>0</v>
      </c>
      <c r="CW27">
        <f t="shared" si="21"/>
        <v>0</v>
      </c>
      <c r="CX27">
        <f t="shared" si="22"/>
        <v>0</v>
      </c>
      <c r="CY27">
        <f t="shared" si="23"/>
        <v>0</v>
      </c>
      <c r="CZ27">
        <f t="shared" si="24"/>
        <v>0</v>
      </c>
      <c r="DC27" t="s">
        <v>5</v>
      </c>
      <c r="DD27" t="s">
        <v>5</v>
      </c>
      <c r="DE27" t="s">
        <v>5</v>
      </c>
      <c r="DF27" t="s">
        <v>5</v>
      </c>
      <c r="DG27" t="s">
        <v>5</v>
      </c>
      <c r="DH27" t="s">
        <v>5</v>
      </c>
      <c r="DI27" t="s">
        <v>5</v>
      </c>
      <c r="DJ27" t="s">
        <v>5</v>
      </c>
      <c r="DK27" t="s">
        <v>5</v>
      </c>
      <c r="DL27" t="s">
        <v>5</v>
      </c>
      <c r="DM27" t="s">
        <v>5</v>
      </c>
      <c r="DN27">
        <v>140</v>
      </c>
      <c r="DO27">
        <v>79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1009</v>
      </c>
      <c r="DV27" t="s">
        <v>28</v>
      </c>
      <c r="DW27" t="s">
        <v>28</v>
      </c>
      <c r="DX27">
        <v>1000</v>
      </c>
      <c r="EE27">
        <v>14030029</v>
      </c>
      <c r="EF27">
        <v>30</v>
      </c>
      <c r="EG27" t="s">
        <v>22</v>
      </c>
      <c r="EH27">
        <v>0</v>
      </c>
      <c r="EI27" t="s">
        <v>5</v>
      </c>
      <c r="EJ27">
        <v>1</v>
      </c>
      <c r="EK27">
        <v>170</v>
      </c>
      <c r="EL27" t="s">
        <v>23</v>
      </c>
      <c r="EM27" t="s">
        <v>24</v>
      </c>
      <c r="EO27" t="s">
        <v>5</v>
      </c>
      <c r="EQ27">
        <v>0</v>
      </c>
      <c r="ER27">
        <v>0</v>
      </c>
      <c r="ES27">
        <v>34547.81</v>
      </c>
      <c r="ET27">
        <v>0</v>
      </c>
      <c r="EU27">
        <v>0</v>
      </c>
      <c r="EV27">
        <v>0</v>
      </c>
      <c r="EW27">
        <v>0</v>
      </c>
      <c r="EX27">
        <v>0</v>
      </c>
      <c r="EZ27">
        <v>0</v>
      </c>
      <c r="FQ27">
        <v>0</v>
      </c>
      <c r="FR27">
        <f t="shared" si="25"/>
        <v>0</v>
      </c>
      <c r="FS27">
        <v>0</v>
      </c>
      <c r="FX27">
        <v>0</v>
      </c>
      <c r="FY27">
        <v>0</v>
      </c>
      <c r="GA27">
        <v>34547.81</v>
      </c>
      <c r="GB27">
        <v>34547.81</v>
      </c>
      <c r="GC27">
        <v>0</v>
      </c>
      <c r="GD27">
        <v>0</v>
      </c>
      <c r="GE27">
        <v>0</v>
      </c>
      <c r="GF27">
        <v>34547.81</v>
      </c>
      <c r="GG27">
        <v>34547.81</v>
      </c>
      <c r="GH27">
        <v>0</v>
      </c>
      <c r="GI27">
        <v>0</v>
      </c>
      <c r="GJ27">
        <v>0</v>
      </c>
      <c r="GK27">
        <v>0</v>
      </c>
    </row>
    <row r="28" spans="1:193">
      <c r="A28">
        <v>18</v>
      </c>
      <c r="B28">
        <v>1</v>
      </c>
      <c r="C28">
        <v>6</v>
      </c>
      <c r="E28" t="s">
        <v>39</v>
      </c>
      <c r="F28" t="s">
        <v>40</v>
      </c>
      <c r="G28" t="s">
        <v>41</v>
      </c>
      <c r="H28" t="s">
        <v>28</v>
      </c>
      <c r="I28">
        <f>I24*J28</f>
        <v>0</v>
      </c>
      <c r="J28">
        <v>0</v>
      </c>
      <c r="O28">
        <f t="shared" si="2"/>
        <v>0</v>
      </c>
      <c r="P28">
        <f t="shared" si="3"/>
        <v>0</v>
      </c>
      <c r="Q28">
        <f t="shared" si="4"/>
        <v>0</v>
      </c>
      <c r="R28">
        <f t="shared" si="5"/>
        <v>0</v>
      </c>
      <c r="S28">
        <f t="shared" si="6"/>
        <v>0</v>
      </c>
      <c r="T28">
        <f t="shared" si="7"/>
        <v>0</v>
      </c>
      <c r="U28">
        <f t="shared" si="8"/>
        <v>0</v>
      </c>
      <c r="V28">
        <f t="shared" si="9"/>
        <v>0</v>
      </c>
      <c r="W28">
        <f t="shared" si="10"/>
        <v>0</v>
      </c>
      <c r="X28">
        <f t="shared" si="11"/>
        <v>0</v>
      </c>
      <c r="Y28">
        <f t="shared" si="12"/>
        <v>0</v>
      </c>
      <c r="AA28">
        <v>0</v>
      </c>
      <c r="AB28">
        <f t="shared" si="13"/>
        <v>29915.65</v>
      </c>
      <c r="AC28">
        <f t="shared" si="26"/>
        <v>29915.65</v>
      </c>
      <c r="AD28">
        <f t="shared" si="26"/>
        <v>0</v>
      </c>
      <c r="AE28">
        <f t="shared" si="26"/>
        <v>0</v>
      </c>
      <c r="AF28">
        <f t="shared" si="26"/>
        <v>0</v>
      </c>
      <c r="AG28">
        <f t="shared" si="26"/>
        <v>0</v>
      </c>
      <c r="AH28">
        <f t="shared" si="26"/>
        <v>0</v>
      </c>
      <c r="AI28">
        <f t="shared" si="26"/>
        <v>0</v>
      </c>
      <c r="AJ28">
        <f t="shared" si="26"/>
        <v>0</v>
      </c>
      <c r="AK28">
        <v>29915.65</v>
      </c>
      <c r="AL28">
        <v>29915.65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2.33</v>
      </c>
      <c r="BD28" t="s">
        <v>5</v>
      </c>
      <c r="BE28" t="s">
        <v>5</v>
      </c>
      <c r="BF28" t="s">
        <v>5</v>
      </c>
      <c r="BG28" t="s">
        <v>5</v>
      </c>
      <c r="BH28">
        <v>3</v>
      </c>
      <c r="BI28">
        <v>1</v>
      </c>
      <c r="BJ28" t="s">
        <v>42</v>
      </c>
      <c r="BM28">
        <v>170</v>
      </c>
      <c r="BN28">
        <v>0</v>
      </c>
      <c r="BO28" t="s">
        <v>40</v>
      </c>
      <c r="BP28">
        <v>1</v>
      </c>
      <c r="BQ28">
        <v>30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5</v>
      </c>
      <c r="BZ28">
        <v>0</v>
      </c>
      <c r="CA28">
        <v>0</v>
      </c>
      <c r="CF28">
        <v>0</v>
      </c>
      <c r="CG28">
        <v>0</v>
      </c>
      <c r="CM28">
        <v>0</v>
      </c>
      <c r="CN28" t="s">
        <v>5</v>
      </c>
      <c r="CO28">
        <v>0</v>
      </c>
      <c r="CP28">
        <f t="shared" si="14"/>
        <v>0</v>
      </c>
      <c r="CQ28">
        <f t="shared" si="15"/>
        <v>69703.464500000002</v>
      </c>
      <c r="CR28">
        <f t="shared" si="16"/>
        <v>0</v>
      </c>
      <c r="CS28">
        <f t="shared" si="17"/>
        <v>0</v>
      </c>
      <c r="CT28">
        <f t="shared" si="18"/>
        <v>0</v>
      </c>
      <c r="CU28">
        <f t="shared" si="19"/>
        <v>0</v>
      </c>
      <c r="CV28">
        <f t="shared" si="20"/>
        <v>0</v>
      </c>
      <c r="CW28">
        <f t="shared" si="21"/>
        <v>0</v>
      </c>
      <c r="CX28">
        <f t="shared" si="22"/>
        <v>0</v>
      </c>
      <c r="CY28">
        <f t="shared" si="23"/>
        <v>0</v>
      </c>
      <c r="CZ28">
        <f t="shared" si="24"/>
        <v>0</v>
      </c>
      <c r="DC28" t="s">
        <v>5</v>
      </c>
      <c r="DD28" t="s">
        <v>5</v>
      </c>
      <c r="DE28" t="s">
        <v>5</v>
      </c>
      <c r="DF28" t="s">
        <v>5</v>
      </c>
      <c r="DG28" t="s">
        <v>5</v>
      </c>
      <c r="DH28" t="s">
        <v>5</v>
      </c>
      <c r="DI28" t="s">
        <v>5</v>
      </c>
      <c r="DJ28" t="s">
        <v>5</v>
      </c>
      <c r="DK28" t="s">
        <v>5</v>
      </c>
      <c r="DL28" t="s">
        <v>5</v>
      </c>
      <c r="DM28" t="s">
        <v>5</v>
      </c>
      <c r="DN28">
        <v>140</v>
      </c>
      <c r="DO28">
        <v>79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1009</v>
      </c>
      <c r="DV28" t="s">
        <v>28</v>
      </c>
      <c r="DW28" t="s">
        <v>28</v>
      </c>
      <c r="DX28">
        <v>1000</v>
      </c>
      <c r="EE28">
        <v>14030029</v>
      </c>
      <c r="EF28">
        <v>30</v>
      </c>
      <c r="EG28" t="s">
        <v>22</v>
      </c>
      <c r="EH28">
        <v>0</v>
      </c>
      <c r="EI28" t="s">
        <v>5</v>
      </c>
      <c r="EJ28">
        <v>1</v>
      </c>
      <c r="EK28">
        <v>170</v>
      </c>
      <c r="EL28" t="s">
        <v>23</v>
      </c>
      <c r="EM28" t="s">
        <v>24</v>
      </c>
      <c r="EO28" t="s">
        <v>5</v>
      </c>
      <c r="EQ28">
        <v>0</v>
      </c>
      <c r="ER28">
        <v>0</v>
      </c>
      <c r="ES28">
        <v>29915.65</v>
      </c>
      <c r="ET28">
        <v>0</v>
      </c>
      <c r="EU28">
        <v>0</v>
      </c>
      <c r="EV28">
        <v>0</v>
      </c>
      <c r="EW28">
        <v>0</v>
      </c>
      <c r="EX28">
        <v>0</v>
      </c>
      <c r="EZ28">
        <v>0</v>
      </c>
      <c r="FQ28">
        <v>0</v>
      </c>
      <c r="FR28">
        <f t="shared" si="25"/>
        <v>0</v>
      </c>
      <c r="FS28">
        <v>0</v>
      </c>
      <c r="FX28">
        <v>0</v>
      </c>
      <c r="FY28">
        <v>0</v>
      </c>
      <c r="GA28">
        <v>29915.65</v>
      </c>
      <c r="GB28">
        <v>29915.65</v>
      </c>
      <c r="GC28">
        <v>0</v>
      </c>
      <c r="GD28">
        <v>0</v>
      </c>
      <c r="GE28">
        <v>0</v>
      </c>
      <c r="GF28">
        <v>29915.65</v>
      </c>
      <c r="GG28">
        <v>29915.65</v>
      </c>
      <c r="GH28">
        <v>0</v>
      </c>
      <c r="GI28">
        <v>0</v>
      </c>
      <c r="GJ28">
        <v>0</v>
      </c>
      <c r="GK28">
        <v>0</v>
      </c>
    </row>
    <row r="29" spans="1:193">
      <c r="A29">
        <v>17</v>
      </c>
      <c r="B29">
        <v>1</v>
      </c>
      <c r="C29">
        <f>ROW(SmtRes!A18)</f>
        <v>18</v>
      </c>
      <c r="D29">
        <f>ROW(EtalonRes!A6)</f>
        <v>6</v>
      </c>
      <c r="E29" t="s">
        <v>43</v>
      </c>
      <c r="F29" t="s">
        <v>16</v>
      </c>
      <c r="G29" t="s">
        <v>17</v>
      </c>
      <c r="H29" t="s">
        <v>18</v>
      </c>
      <c r="I29">
        <f>Source!I24</f>
        <v>8804</v>
      </c>
      <c r="J29">
        <v>0</v>
      </c>
      <c r="O29">
        <f t="shared" si="2"/>
        <v>1162453.3899999999</v>
      </c>
      <c r="P29">
        <f t="shared" si="3"/>
        <v>0</v>
      </c>
      <c r="Q29">
        <f t="shared" si="4"/>
        <v>856306.75</v>
      </c>
      <c r="R29">
        <f t="shared" si="5"/>
        <v>234810.38</v>
      </c>
      <c r="S29">
        <f t="shared" si="6"/>
        <v>306146.64</v>
      </c>
      <c r="T29">
        <f t="shared" si="7"/>
        <v>0</v>
      </c>
      <c r="U29">
        <f t="shared" si="8"/>
        <v>2024.9199999999998</v>
      </c>
      <c r="V29">
        <f t="shared" si="9"/>
        <v>0</v>
      </c>
      <c r="W29">
        <f t="shared" si="10"/>
        <v>0</v>
      </c>
      <c r="X29">
        <f t="shared" si="11"/>
        <v>367375.97</v>
      </c>
      <c r="Y29">
        <f t="shared" si="12"/>
        <v>128581.59</v>
      </c>
      <c r="AA29">
        <v>0</v>
      </c>
      <c r="AB29">
        <f t="shared" si="13"/>
        <v>49.193999999999996</v>
      </c>
      <c r="AC29">
        <f>(ES29)</f>
        <v>0</v>
      </c>
      <c r="AD29">
        <f>((ET29*1.25))</f>
        <v>46.537499999999994</v>
      </c>
      <c r="AE29">
        <f>((EU29*1.25))</f>
        <v>2.0374999999999996</v>
      </c>
      <c r="AF29">
        <f>((EV29*1.15))</f>
        <v>2.6564999999999999</v>
      </c>
      <c r="AG29">
        <f>(AP29)</f>
        <v>0</v>
      </c>
      <c r="AH29">
        <f>((EW29*1.15))</f>
        <v>0.22999999999999998</v>
      </c>
      <c r="AI29">
        <f>((EX29*1.25))</f>
        <v>0</v>
      </c>
      <c r="AJ29">
        <f>(AS29)</f>
        <v>0</v>
      </c>
      <c r="AK29">
        <v>39.54</v>
      </c>
      <c r="AL29">
        <v>0</v>
      </c>
      <c r="AM29">
        <v>37.229999999999997</v>
      </c>
      <c r="AN29">
        <v>1.63</v>
      </c>
      <c r="AO29">
        <v>2.31</v>
      </c>
      <c r="AP29">
        <v>0</v>
      </c>
      <c r="AQ29">
        <v>0.2</v>
      </c>
      <c r="AR29">
        <v>0</v>
      </c>
      <c r="AS29">
        <v>0</v>
      </c>
      <c r="AT29">
        <v>120</v>
      </c>
      <c r="AU29">
        <v>42</v>
      </c>
      <c r="AV29">
        <v>1</v>
      </c>
      <c r="AW29">
        <v>1</v>
      </c>
      <c r="AX29">
        <v>1</v>
      </c>
      <c r="AY29">
        <v>1</v>
      </c>
      <c r="AZ29">
        <v>13.09</v>
      </c>
      <c r="BA29">
        <v>13.09</v>
      </c>
      <c r="BB29">
        <v>2.09</v>
      </c>
      <c r="BC29">
        <v>1</v>
      </c>
      <c r="BD29" t="s">
        <v>5</v>
      </c>
      <c r="BE29" t="s">
        <v>5</v>
      </c>
      <c r="BF29" t="s">
        <v>5</v>
      </c>
      <c r="BG29" t="s">
        <v>5</v>
      </c>
      <c r="BH29">
        <v>0</v>
      </c>
      <c r="BI29">
        <v>1</v>
      </c>
      <c r="BJ29" t="s">
        <v>19</v>
      </c>
      <c r="BM29">
        <v>170</v>
      </c>
      <c r="BN29">
        <v>0</v>
      </c>
      <c r="BO29" t="s">
        <v>16</v>
      </c>
      <c r="BP29">
        <v>1</v>
      </c>
      <c r="BQ29">
        <v>30</v>
      </c>
      <c r="BR29">
        <v>0</v>
      </c>
      <c r="BS29">
        <v>13.09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5</v>
      </c>
      <c r="BZ29">
        <v>120</v>
      </c>
      <c r="CA29">
        <v>42</v>
      </c>
      <c r="CF29">
        <v>0</v>
      </c>
      <c r="CG29">
        <v>0</v>
      </c>
      <c r="CM29">
        <v>0</v>
      </c>
      <c r="CN29" t="s">
        <v>5</v>
      </c>
      <c r="CO29">
        <v>0</v>
      </c>
      <c r="CP29">
        <f t="shared" si="14"/>
        <v>1162453.3900000001</v>
      </c>
      <c r="CQ29">
        <f t="shared" si="15"/>
        <v>0</v>
      </c>
      <c r="CR29">
        <f t="shared" si="16"/>
        <v>97.263374999999982</v>
      </c>
      <c r="CS29">
        <f t="shared" si="17"/>
        <v>26.670874999999995</v>
      </c>
      <c r="CT29">
        <f t="shared" si="18"/>
        <v>34.773584999999997</v>
      </c>
      <c r="CU29">
        <f t="shared" si="19"/>
        <v>0</v>
      </c>
      <c r="CV29">
        <f t="shared" si="20"/>
        <v>0.22999999999999998</v>
      </c>
      <c r="CW29">
        <f t="shared" si="21"/>
        <v>0</v>
      </c>
      <c r="CX29">
        <f t="shared" si="22"/>
        <v>0</v>
      </c>
      <c r="CY29">
        <f t="shared" si="23"/>
        <v>367375.96799999999</v>
      </c>
      <c r="CZ29">
        <f t="shared" si="24"/>
        <v>128581.5888</v>
      </c>
      <c r="DC29" t="s">
        <v>5</v>
      </c>
      <c r="DD29" t="s">
        <v>5</v>
      </c>
      <c r="DE29" t="s">
        <v>20</v>
      </c>
      <c r="DF29" t="s">
        <v>20</v>
      </c>
      <c r="DG29" t="s">
        <v>21</v>
      </c>
      <c r="DH29" t="s">
        <v>5</v>
      </c>
      <c r="DI29" t="s">
        <v>21</v>
      </c>
      <c r="DJ29" t="s">
        <v>20</v>
      </c>
      <c r="DK29" t="s">
        <v>5</v>
      </c>
      <c r="DL29" t="s">
        <v>5</v>
      </c>
      <c r="DM29" t="s">
        <v>5</v>
      </c>
      <c r="DN29">
        <v>140</v>
      </c>
      <c r="DO29">
        <v>79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1005</v>
      </c>
      <c r="DV29" t="s">
        <v>18</v>
      </c>
      <c r="DW29" t="s">
        <v>18</v>
      </c>
      <c r="DX29">
        <v>1</v>
      </c>
      <c r="EE29">
        <v>14030029</v>
      </c>
      <c r="EF29">
        <v>30</v>
      </c>
      <c r="EG29" t="s">
        <v>22</v>
      </c>
      <c r="EH29">
        <v>0</v>
      </c>
      <c r="EI29" t="s">
        <v>5</v>
      </c>
      <c r="EJ29">
        <v>1</v>
      </c>
      <c r="EK29">
        <v>170</v>
      </c>
      <c r="EL29" t="s">
        <v>23</v>
      </c>
      <c r="EM29" t="s">
        <v>24</v>
      </c>
      <c r="EO29" t="s">
        <v>5</v>
      </c>
      <c r="EQ29">
        <v>64</v>
      </c>
      <c r="ER29">
        <v>39.54</v>
      </c>
      <c r="ES29">
        <v>0</v>
      </c>
      <c r="ET29">
        <v>37.229999999999997</v>
      </c>
      <c r="EU29">
        <v>1.63</v>
      </c>
      <c r="EV29">
        <v>2.31</v>
      </c>
      <c r="EW29">
        <v>0.2</v>
      </c>
      <c r="EX29">
        <v>0</v>
      </c>
      <c r="EY29">
        <v>0</v>
      </c>
      <c r="EZ29">
        <v>0</v>
      </c>
      <c r="FQ29">
        <v>0</v>
      </c>
      <c r="FR29">
        <f t="shared" si="25"/>
        <v>0</v>
      </c>
      <c r="FS29">
        <v>0</v>
      </c>
      <c r="FX29">
        <v>120</v>
      </c>
      <c r="FY29">
        <v>42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</row>
    <row r="30" spans="1:193">
      <c r="A30">
        <v>18</v>
      </c>
      <c r="B30">
        <v>1</v>
      </c>
      <c r="C30">
        <v>10</v>
      </c>
      <c r="E30" t="s">
        <v>44</v>
      </c>
      <c r="F30" t="s">
        <v>45</v>
      </c>
      <c r="G30" t="s">
        <v>46</v>
      </c>
      <c r="H30" t="s">
        <v>28</v>
      </c>
      <c r="I30">
        <f>I29*J30</f>
        <v>4.660353491161616</v>
      </c>
      <c r="J30">
        <v>5.2934501262626263E-4</v>
      </c>
      <c r="O30">
        <f t="shared" si="2"/>
        <v>407863.47</v>
      </c>
      <c r="P30">
        <f t="shared" si="3"/>
        <v>407863.47</v>
      </c>
      <c r="Q30">
        <f t="shared" si="4"/>
        <v>0</v>
      </c>
      <c r="R30">
        <f t="shared" si="5"/>
        <v>0</v>
      </c>
      <c r="S30">
        <f t="shared" si="6"/>
        <v>0</v>
      </c>
      <c r="T30">
        <f t="shared" si="7"/>
        <v>0</v>
      </c>
      <c r="U30">
        <f t="shared" si="8"/>
        <v>0</v>
      </c>
      <c r="V30">
        <f t="shared" si="9"/>
        <v>0</v>
      </c>
      <c r="W30">
        <f t="shared" si="10"/>
        <v>0</v>
      </c>
      <c r="X30">
        <f t="shared" si="11"/>
        <v>0</v>
      </c>
      <c r="Y30">
        <f t="shared" si="12"/>
        <v>0</v>
      </c>
      <c r="AA30">
        <v>0</v>
      </c>
      <c r="AB30">
        <f t="shared" si="13"/>
        <v>43541.15</v>
      </c>
      <c r="AC30">
        <f t="shared" ref="AC30:AJ36" si="27">AL30</f>
        <v>43541.15</v>
      </c>
      <c r="AD30">
        <f t="shared" si="27"/>
        <v>0</v>
      </c>
      <c r="AE30">
        <f t="shared" si="27"/>
        <v>0</v>
      </c>
      <c r="AF30">
        <f t="shared" si="27"/>
        <v>0</v>
      </c>
      <c r="AG30">
        <f t="shared" si="27"/>
        <v>0</v>
      </c>
      <c r="AH30">
        <f t="shared" si="27"/>
        <v>0</v>
      </c>
      <c r="AI30">
        <f t="shared" si="27"/>
        <v>0</v>
      </c>
      <c r="AJ30">
        <f t="shared" si="27"/>
        <v>0</v>
      </c>
      <c r="AK30">
        <v>43541.15</v>
      </c>
      <c r="AL30">
        <v>43541.15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2.0099999999999998</v>
      </c>
      <c r="BD30" t="s">
        <v>5</v>
      </c>
      <c r="BE30" t="s">
        <v>5</v>
      </c>
      <c r="BF30" t="s">
        <v>5</v>
      </c>
      <c r="BG30" t="s">
        <v>5</v>
      </c>
      <c r="BH30">
        <v>3</v>
      </c>
      <c r="BI30">
        <v>1</v>
      </c>
      <c r="BJ30" t="s">
        <v>47</v>
      </c>
      <c r="BM30">
        <v>170</v>
      </c>
      <c r="BN30">
        <v>0</v>
      </c>
      <c r="BO30" t="s">
        <v>45</v>
      </c>
      <c r="BP30">
        <v>1</v>
      </c>
      <c r="BQ30">
        <v>30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5</v>
      </c>
      <c r="BZ30">
        <v>0</v>
      </c>
      <c r="CA30">
        <v>0</v>
      </c>
      <c r="CF30">
        <v>0</v>
      </c>
      <c r="CG30">
        <v>0</v>
      </c>
      <c r="CM30">
        <v>0</v>
      </c>
      <c r="CN30" t="s">
        <v>5</v>
      </c>
      <c r="CO30">
        <v>0</v>
      </c>
      <c r="CP30">
        <f t="shared" si="14"/>
        <v>407863.47</v>
      </c>
      <c r="CQ30">
        <f t="shared" si="15"/>
        <v>87517.71149999999</v>
      </c>
      <c r="CR30">
        <f t="shared" si="16"/>
        <v>0</v>
      </c>
      <c r="CS30">
        <f t="shared" si="17"/>
        <v>0</v>
      </c>
      <c r="CT30">
        <f t="shared" si="18"/>
        <v>0</v>
      </c>
      <c r="CU30">
        <f t="shared" si="19"/>
        <v>0</v>
      </c>
      <c r="CV30">
        <f t="shared" si="20"/>
        <v>0</v>
      </c>
      <c r="CW30">
        <f t="shared" si="21"/>
        <v>0</v>
      </c>
      <c r="CX30">
        <f t="shared" si="22"/>
        <v>0</v>
      </c>
      <c r="CY30">
        <f t="shared" si="23"/>
        <v>0</v>
      </c>
      <c r="CZ30">
        <f t="shared" si="24"/>
        <v>0</v>
      </c>
      <c r="DC30" t="s">
        <v>5</v>
      </c>
      <c r="DD30" t="s">
        <v>5</v>
      </c>
      <c r="DE30" t="s">
        <v>5</v>
      </c>
      <c r="DF30" t="s">
        <v>5</v>
      </c>
      <c r="DG30" t="s">
        <v>5</v>
      </c>
      <c r="DH30" t="s">
        <v>5</v>
      </c>
      <c r="DI30" t="s">
        <v>5</v>
      </c>
      <c r="DJ30" t="s">
        <v>5</v>
      </c>
      <c r="DK30" t="s">
        <v>5</v>
      </c>
      <c r="DL30" t="s">
        <v>5</v>
      </c>
      <c r="DM30" t="s">
        <v>5</v>
      </c>
      <c r="DN30">
        <v>140</v>
      </c>
      <c r="DO30">
        <v>79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1009</v>
      </c>
      <c r="DV30" t="s">
        <v>28</v>
      </c>
      <c r="DW30" t="s">
        <v>28</v>
      </c>
      <c r="DX30">
        <v>1000</v>
      </c>
      <c r="EE30">
        <v>14030029</v>
      </c>
      <c r="EF30">
        <v>30</v>
      </c>
      <c r="EG30" t="s">
        <v>22</v>
      </c>
      <c r="EH30">
        <v>0</v>
      </c>
      <c r="EI30" t="s">
        <v>5</v>
      </c>
      <c r="EJ30">
        <v>1</v>
      </c>
      <c r="EK30">
        <v>170</v>
      </c>
      <c r="EL30" t="s">
        <v>23</v>
      </c>
      <c r="EM30" t="s">
        <v>24</v>
      </c>
      <c r="EO30" t="s">
        <v>5</v>
      </c>
      <c r="EQ30">
        <v>0</v>
      </c>
      <c r="ER30">
        <v>43541.15</v>
      </c>
      <c r="ES30">
        <v>43541.15</v>
      </c>
      <c r="ET30">
        <v>0</v>
      </c>
      <c r="EU30">
        <v>0</v>
      </c>
      <c r="EV30">
        <v>0</v>
      </c>
      <c r="EW30">
        <v>0</v>
      </c>
      <c r="EX30">
        <v>0</v>
      </c>
      <c r="EZ30">
        <v>0</v>
      </c>
      <c r="FQ30">
        <v>0</v>
      </c>
      <c r="FR30">
        <f t="shared" si="25"/>
        <v>0</v>
      </c>
      <c r="FS30">
        <v>0</v>
      </c>
      <c r="FX30">
        <v>0</v>
      </c>
      <c r="FY30">
        <v>0</v>
      </c>
      <c r="GA30">
        <v>43541.15</v>
      </c>
      <c r="GB30">
        <v>43541.15</v>
      </c>
      <c r="GC30">
        <v>0</v>
      </c>
      <c r="GD30">
        <v>0</v>
      </c>
      <c r="GE30">
        <v>0</v>
      </c>
      <c r="GF30">
        <v>43541.15</v>
      </c>
      <c r="GG30">
        <v>43541.15</v>
      </c>
      <c r="GH30">
        <v>0</v>
      </c>
      <c r="GI30">
        <v>0</v>
      </c>
      <c r="GJ30">
        <v>0</v>
      </c>
      <c r="GK30">
        <v>0</v>
      </c>
    </row>
    <row r="31" spans="1:193">
      <c r="A31">
        <v>18</v>
      </c>
      <c r="B31">
        <v>1</v>
      </c>
      <c r="C31">
        <v>16</v>
      </c>
      <c r="E31" t="s">
        <v>48</v>
      </c>
      <c r="F31" t="s">
        <v>49</v>
      </c>
      <c r="G31" t="s">
        <v>50</v>
      </c>
      <c r="H31" t="s">
        <v>28</v>
      </c>
      <c r="I31">
        <f>I29*J31</f>
        <v>0</v>
      </c>
      <c r="J31">
        <v>0</v>
      </c>
      <c r="O31">
        <f t="shared" si="2"/>
        <v>0</v>
      </c>
      <c r="P31">
        <f t="shared" si="3"/>
        <v>0</v>
      </c>
      <c r="Q31">
        <f t="shared" si="4"/>
        <v>0</v>
      </c>
      <c r="R31">
        <f t="shared" si="5"/>
        <v>0</v>
      </c>
      <c r="S31">
        <f t="shared" si="6"/>
        <v>0</v>
      </c>
      <c r="T31">
        <f t="shared" si="7"/>
        <v>0</v>
      </c>
      <c r="U31">
        <f t="shared" si="8"/>
        <v>0</v>
      </c>
      <c r="V31">
        <f t="shared" si="9"/>
        <v>0</v>
      </c>
      <c r="W31">
        <f t="shared" si="10"/>
        <v>0</v>
      </c>
      <c r="X31">
        <f t="shared" si="11"/>
        <v>0</v>
      </c>
      <c r="Y31">
        <f t="shared" si="12"/>
        <v>0</v>
      </c>
      <c r="AA31">
        <v>0</v>
      </c>
      <c r="AB31">
        <f t="shared" si="13"/>
        <v>30489.599999999999</v>
      </c>
      <c r="AC31">
        <f t="shared" si="27"/>
        <v>30489.599999999999</v>
      </c>
      <c r="AD31">
        <f t="shared" si="27"/>
        <v>0</v>
      </c>
      <c r="AE31">
        <f t="shared" si="27"/>
        <v>0</v>
      </c>
      <c r="AF31">
        <f t="shared" si="27"/>
        <v>0</v>
      </c>
      <c r="AG31">
        <f t="shared" si="27"/>
        <v>0</v>
      </c>
      <c r="AH31">
        <f t="shared" si="27"/>
        <v>0</v>
      </c>
      <c r="AI31">
        <f t="shared" si="27"/>
        <v>0</v>
      </c>
      <c r="AJ31">
        <f t="shared" si="27"/>
        <v>0</v>
      </c>
      <c r="AK31">
        <v>30489.599999999999</v>
      </c>
      <c r="AL31">
        <v>30489.599999999999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2.0699999999999998</v>
      </c>
      <c r="BD31" t="s">
        <v>5</v>
      </c>
      <c r="BE31" t="s">
        <v>5</v>
      </c>
      <c r="BF31" t="s">
        <v>5</v>
      </c>
      <c r="BG31" t="s">
        <v>5</v>
      </c>
      <c r="BH31">
        <v>3</v>
      </c>
      <c r="BI31">
        <v>1</v>
      </c>
      <c r="BJ31" t="s">
        <v>51</v>
      </c>
      <c r="BM31">
        <v>170</v>
      </c>
      <c r="BN31">
        <v>0</v>
      </c>
      <c r="BO31" t="s">
        <v>49</v>
      </c>
      <c r="BP31">
        <v>1</v>
      </c>
      <c r="BQ31">
        <v>30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5</v>
      </c>
      <c r="BZ31">
        <v>0</v>
      </c>
      <c r="CA31">
        <v>0</v>
      </c>
      <c r="CF31">
        <v>0</v>
      </c>
      <c r="CG31">
        <v>0</v>
      </c>
      <c r="CM31">
        <v>0</v>
      </c>
      <c r="CN31" t="s">
        <v>5</v>
      </c>
      <c r="CO31">
        <v>0</v>
      </c>
      <c r="CP31">
        <f t="shared" si="14"/>
        <v>0</v>
      </c>
      <c r="CQ31">
        <f t="shared" si="15"/>
        <v>63113.471999999994</v>
      </c>
      <c r="CR31">
        <f t="shared" si="16"/>
        <v>0</v>
      </c>
      <c r="CS31">
        <f t="shared" si="17"/>
        <v>0</v>
      </c>
      <c r="CT31">
        <f t="shared" si="18"/>
        <v>0</v>
      </c>
      <c r="CU31">
        <f t="shared" si="19"/>
        <v>0</v>
      </c>
      <c r="CV31">
        <f t="shared" si="20"/>
        <v>0</v>
      </c>
      <c r="CW31">
        <f t="shared" si="21"/>
        <v>0</v>
      </c>
      <c r="CX31">
        <f t="shared" si="22"/>
        <v>0</v>
      </c>
      <c r="CY31">
        <f t="shared" si="23"/>
        <v>0</v>
      </c>
      <c r="CZ31">
        <f t="shared" si="24"/>
        <v>0</v>
      </c>
      <c r="DC31" t="s">
        <v>5</v>
      </c>
      <c r="DD31" t="s">
        <v>5</v>
      </c>
      <c r="DE31" t="s">
        <v>5</v>
      </c>
      <c r="DF31" t="s">
        <v>5</v>
      </c>
      <c r="DG31" t="s">
        <v>5</v>
      </c>
      <c r="DH31" t="s">
        <v>5</v>
      </c>
      <c r="DI31" t="s">
        <v>5</v>
      </c>
      <c r="DJ31" t="s">
        <v>5</v>
      </c>
      <c r="DK31" t="s">
        <v>5</v>
      </c>
      <c r="DL31" t="s">
        <v>5</v>
      </c>
      <c r="DM31" t="s">
        <v>5</v>
      </c>
      <c r="DN31">
        <v>140</v>
      </c>
      <c r="DO31">
        <v>79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1009</v>
      </c>
      <c r="DV31" t="s">
        <v>28</v>
      </c>
      <c r="DW31" t="s">
        <v>28</v>
      </c>
      <c r="DX31">
        <v>1000</v>
      </c>
      <c r="EE31">
        <v>14030029</v>
      </c>
      <c r="EF31">
        <v>30</v>
      </c>
      <c r="EG31" t="s">
        <v>22</v>
      </c>
      <c r="EH31">
        <v>0</v>
      </c>
      <c r="EI31" t="s">
        <v>5</v>
      </c>
      <c r="EJ31">
        <v>1</v>
      </c>
      <c r="EK31">
        <v>170</v>
      </c>
      <c r="EL31" t="s">
        <v>23</v>
      </c>
      <c r="EM31" t="s">
        <v>24</v>
      </c>
      <c r="EO31" t="s">
        <v>5</v>
      </c>
      <c r="EQ31">
        <v>0</v>
      </c>
      <c r="ER31">
        <v>30489.599999999999</v>
      </c>
      <c r="ES31">
        <v>30489.599999999999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0</v>
      </c>
      <c r="FQ31">
        <v>0</v>
      </c>
      <c r="FR31">
        <f t="shared" si="25"/>
        <v>0</v>
      </c>
      <c r="FS31">
        <v>0</v>
      </c>
      <c r="FX31">
        <v>0</v>
      </c>
      <c r="FY31">
        <v>0</v>
      </c>
      <c r="GA31">
        <v>30489.599999999999</v>
      </c>
      <c r="GB31">
        <v>30489.599999999999</v>
      </c>
      <c r="GC31">
        <v>0</v>
      </c>
      <c r="GD31">
        <v>0</v>
      </c>
      <c r="GE31">
        <v>0</v>
      </c>
      <c r="GF31">
        <v>30489.599999999999</v>
      </c>
      <c r="GG31">
        <v>30489.599999999999</v>
      </c>
      <c r="GH31">
        <v>0</v>
      </c>
      <c r="GI31">
        <v>0</v>
      </c>
      <c r="GJ31">
        <v>0</v>
      </c>
      <c r="GK31">
        <v>0</v>
      </c>
    </row>
    <row r="32" spans="1:193">
      <c r="A32">
        <v>18</v>
      </c>
      <c r="B32">
        <v>1</v>
      </c>
      <c r="C32">
        <v>9</v>
      </c>
      <c r="E32" t="s">
        <v>52</v>
      </c>
      <c r="F32" t="s">
        <v>26</v>
      </c>
      <c r="G32" t="s">
        <v>50</v>
      </c>
      <c r="H32" t="s">
        <v>28</v>
      </c>
      <c r="I32">
        <f>I29*J32</f>
        <v>0</v>
      </c>
      <c r="J32">
        <v>0</v>
      </c>
      <c r="O32">
        <f t="shared" si="2"/>
        <v>0</v>
      </c>
      <c r="P32">
        <f t="shared" si="3"/>
        <v>0</v>
      </c>
      <c r="Q32">
        <f t="shared" si="4"/>
        <v>0</v>
      </c>
      <c r="R32">
        <f t="shared" si="5"/>
        <v>0</v>
      </c>
      <c r="S32">
        <f t="shared" si="6"/>
        <v>0</v>
      </c>
      <c r="T32">
        <f t="shared" si="7"/>
        <v>0</v>
      </c>
      <c r="U32">
        <f t="shared" si="8"/>
        <v>0</v>
      </c>
      <c r="V32">
        <f t="shared" si="9"/>
        <v>0</v>
      </c>
      <c r="W32">
        <f t="shared" si="10"/>
        <v>0</v>
      </c>
      <c r="X32">
        <f t="shared" si="11"/>
        <v>0</v>
      </c>
      <c r="Y32">
        <f t="shared" si="12"/>
        <v>0</v>
      </c>
      <c r="AA32">
        <v>0</v>
      </c>
      <c r="AB32">
        <f t="shared" si="13"/>
        <v>32831.15</v>
      </c>
      <c r="AC32">
        <f t="shared" si="27"/>
        <v>32831.15</v>
      </c>
      <c r="AD32">
        <f t="shared" si="27"/>
        <v>0</v>
      </c>
      <c r="AE32">
        <f t="shared" si="27"/>
        <v>0</v>
      </c>
      <c r="AF32">
        <f t="shared" si="27"/>
        <v>0</v>
      </c>
      <c r="AG32">
        <f t="shared" si="27"/>
        <v>0</v>
      </c>
      <c r="AH32">
        <f t="shared" si="27"/>
        <v>0</v>
      </c>
      <c r="AI32">
        <f t="shared" si="27"/>
        <v>0</v>
      </c>
      <c r="AJ32">
        <f t="shared" si="27"/>
        <v>0</v>
      </c>
      <c r="AK32">
        <v>32831.15</v>
      </c>
      <c r="AL32">
        <v>32831.15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2.06</v>
      </c>
      <c r="BD32" t="s">
        <v>5</v>
      </c>
      <c r="BE32" t="s">
        <v>5</v>
      </c>
      <c r="BF32" t="s">
        <v>5</v>
      </c>
      <c r="BG32" t="s">
        <v>5</v>
      </c>
      <c r="BH32">
        <v>3</v>
      </c>
      <c r="BI32">
        <v>1</v>
      </c>
      <c r="BJ32" t="s">
        <v>29</v>
      </c>
      <c r="BM32">
        <v>170</v>
      </c>
      <c r="BN32">
        <v>0</v>
      </c>
      <c r="BO32" t="s">
        <v>26</v>
      </c>
      <c r="BP32">
        <v>1</v>
      </c>
      <c r="BQ32">
        <v>30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5</v>
      </c>
      <c r="BZ32">
        <v>0</v>
      </c>
      <c r="CA32">
        <v>0</v>
      </c>
      <c r="CF32">
        <v>0</v>
      </c>
      <c r="CG32">
        <v>0</v>
      </c>
      <c r="CM32">
        <v>0</v>
      </c>
      <c r="CN32" t="s">
        <v>5</v>
      </c>
      <c r="CO32">
        <v>0</v>
      </c>
      <c r="CP32">
        <f t="shared" si="14"/>
        <v>0</v>
      </c>
      <c r="CQ32">
        <f t="shared" si="15"/>
        <v>67632.169000000009</v>
      </c>
      <c r="CR32">
        <f t="shared" si="16"/>
        <v>0</v>
      </c>
      <c r="CS32">
        <f t="shared" si="17"/>
        <v>0</v>
      </c>
      <c r="CT32">
        <f t="shared" si="18"/>
        <v>0</v>
      </c>
      <c r="CU32">
        <f t="shared" si="19"/>
        <v>0</v>
      </c>
      <c r="CV32">
        <f t="shared" si="20"/>
        <v>0</v>
      </c>
      <c r="CW32">
        <f t="shared" si="21"/>
        <v>0</v>
      </c>
      <c r="CX32">
        <f t="shared" si="22"/>
        <v>0</v>
      </c>
      <c r="CY32">
        <f t="shared" si="23"/>
        <v>0</v>
      </c>
      <c r="CZ32">
        <f t="shared" si="24"/>
        <v>0</v>
      </c>
      <c r="DC32" t="s">
        <v>5</v>
      </c>
      <c r="DD32" t="s">
        <v>5</v>
      </c>
      <c r="DE32" t="s">
        <v>5</v>
      </c>
      <c r="DF32" t="s">
        <v>5</v>
      </c>
      <c r="DG32" t="s">
        <v>5</v>
      </c>
      <c r="DH32" t="s">
        <v>5</v>
      </c>
      <c r="DI32" t="s">
        <v>5</v>
      </c>
      <c r="DJ32" t="s">
        <v>5</v>
      </c>
      <c r="DK32" t="s">
        <v>5</v>
      </c>
      <c r="DL32" t="s">
        <v>5</v>
      </c>
      <c r="DM32" t="s">
        <v>5</v>
      </c>
      <c r="DN32">
        <v>140</v>
      </c>
      <c r="DO32">
        <v>79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1009</v>
      </c>
      <c r="DV32" t="s">
        <v>28</v>
      </c>
      <c r="DW32" t="s">
        <v>28</v>
      </c>
      <c r="DX32">
        <v>1000</v>
      </c>
      <c r="EE32">
        <v>14030029</v>
      </c>
      <c r="EF32">
        <v>30</v>
      </c>
      <c r="EG32" t="s">
        <v>22</v>
      </c>
      <c r="EH32">
        <v>0</v>
      </c>
      <c r="EI32" t="s">
        <v>5</v>
      </c>
      <c r="EJ32">
        <v>1</v>
      </c>
      <c r="EK32">
        <v>170</v>
      </c>
      <c r="EL32" t="s">
        <v>23</v>
      </c>
      <c r="EM32" t="s">
        <v>24</v>
      </c>
      <c r="EO32" t="s">
        <v>5</v>
      </c>
      <c r="EQ32">
        <v>0</v>
      </c>
      <c r="ER32">
        <v>0</v>
      </c>
      <c r="ES32">
        <v>32831.15</v>
      </c>
      <c r="ET32">
        <v>0</v>
      </c>
      <c r="EU32">
        <v>0</v>
      </c>
      <c r="EV32">
        <v>0</v>
      </c>
      <c r="EW32">
        <v>0</v>
      </c>
      <c r="EX32">
        <v>0</v>
      </c>
      <c r="EZ32">
        <v>0</v>
      </c>
      <c r="FQ32">
        <v>0</v>
      </c>
      <c r="FR32">
        <f t="shared" si="25"/>
        <v>0</v>
      </c>
      <c r="FS32">
        <v>0</v>
      </c>
      <c r="FX32">
        <v>0</v>
      </c>
      <c r="FY32">
        <v>0</v>
      </c>
      <c r="GA32">
        <v>32831.15</v>
      </c>
      <c r="GB32">
        <v>32831.15</v>
      </c>
      <c r="GC32">
        <v>0</v>
      </c>
      <c r="GD32">
        <v>0</v>
      </c>
      <c r="GE32">
        <v>0</v>
      </c>
      <c r="GF32">
        <v>32831.15</v>
      </c>
      <c r="GG32">
        <v>32831.15</v>
      </c>
      <c r="GH32">
        <v>0</v>
      </c>
      <c r="GI32">
        <v>0</v>
      </c>
      <c r="GJ32">
        <v>0</v>
      </c>
      <c r="GK32">
        <v>0</v>
      </c>
    </row>
    <row r="33" spans="1:193">
      <c r="A33">
        <v>18</v>
      </c>
      <c r="B33">
        <v>1</v>
      </c>
      <c r="C33">
        <v>14</v>
      </c>
      <c r="E33" t="s">
        <v>53</v>
      </c>
      <c r="F33" t="s">
        <v>54</v>
      </c>
      <c r="G33" t="s">
        <v>55</v>
      </c>
      <c r="H33" t="s">
        <v>28</v>
      </c>
      <c r="I33">
        <f>I29*J33</f>
        <v>0</v>
      </c>
      <c r="J33">
        <v>0</v>
      </c>
      <c r="O33">
        <f t="shared" si="2"/>
        <v>0</v>
      </c>
      <c r="P33">
        <f t="shared" si="3"/>
        <v>0</v>
      </c>
      <c r="Q33">
        <f t="shared" si="4"/>
        <v>0</v>
      </c>
      <c r="R33">
        <f t="shared" si="5"/>
        <v>0</v>
      </c>
      <c r="S33">
        <f t="shared" si="6"/>
        <v>0</v>
      </c>
      <c r="T33">
        <f t="shared" si="7"/>
        <v>0</v>
      </c>
      <c r="U33">
        <f t="shared" si="8"/>
        <v>0</v>
      </c>
      <c r="V33">
        <f t="shared" si="9"/>
        <v>0</v>
      </c>
      <c r="W33">
        <f t="shared" si="10"/>
        <v>0</v>
      </c>
      <c r="X33">
        <f t="shared" si="11"/>
        <v>0</v>
      </c>
      <c r="Y33">
        <f t="shared" si="12"/>
        <v>0</v>
      </c>
      <c r="AA33">
        <v>0</v>
      </c>
      <c r="AB33">
        <f t="shared" si="13"/>
        <v>38228</v>
      </c>
      <c r="AC33">
        <f t="shared" si="27"/>
        <v>38228</v>
      </c>
      <c r="AD33">
        <f t="shared" si="27"/>
        <v>0</v>
      </c>
      <c r="AE33">
        <f t="shared" si="27"/>
        <v>0</v>
      </c>
      <c r="AF33">
        <f t="shared" si="27"/>
        <v>0</v>
      </c>
      <c r="AG33">
        <f t="shared" si="27"/>
        <v>0</v>
      </c>
      <c r="AH33">
        <f t="shared" si="27"/>
        <v>0</v>
      </c>
      <c r="AI33">
        <f t="shared" si="27"/>
        <v>0</v>
      </c>
      <c r="AJ33">
        <f t="shared" si="27"/>
        <v>0</v>
      </c>
      <c r="AK33">
        <v>38228</v>
      </c>
      <c r="AL33">
        <v>38228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2.2599999999999998</v>
      </c>
      <c r="BD33" t="s">
        <v>5</v>
      </c>
      <c r="BE33" t="s">
        <v>5</v>
      </c>
      <c r="BF33" t="s">
        <v>5</v>
      </c>
      <c r="BG33" t="s">
        <v>5</v>
      </c>
      <c r="BH33">
        <v>3</v>
      </c>
      <c r="BI33">
        <v>1</v>
      </c>
      <c r="BJ33" t="s">
        <v>56</v>
      </c>
      <c r="BM33">
        <v>170</v>
      </c>
      <c r="BN33">
        <v>0</v>
      </c>
      <c r="BO33" t="s">
        <v>54</v>
      </c>
      <c r="BP33">
        <v>1</v>
      </c>
      <c r="BQ33">
        <v>30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5</v>
      </c>
      <c r="BZ33">
        <v>0</v>
      </c>
      <c r="CA33">
        <v>0</v>
      </c>
      <c r="CF33">
        <v>0</v>
      </c>
      <c r="CG33">
        <v>0</v>
      </c>
      <c r="CM33">
        <v>0</v>
      </c>
      <c r="CN33" t="s">
        <v>5</v>
      </c>
      <c r="CO33">
        <v>0</v>
      </c>
      <c r="CP33">
        <f t="shared" si="14"/>
        <v>0</v>
      </c>
      <c r="CQ33">
        <f t="shared" si="15"/>
        <v>86395.28</v>
      </c>
      <c r="CR33">
        <f t="shared" si="16"/>
        <v>0</v>
      </c>
      <c r="CS33">
        <f t="shared" si="17"/>
        <v>0</v>
      </c>
      <c r="CT33">
        <f t="shared" si="18"/>
        <v>0</v>
      </c>
      <c r="CU33">
        <f t="shared" si="19"/>
        <v>0</v>
      </c>
      <c r="CV33">
        <f t="shared" si="20"/>
        <v>0</v>
      </c>
      <c r="CW33">
        <f t="shared" si="21"/>
        <v>0</v>
      </c>
      <c r="CX33">
        <f t="shared" si="22"/>
        <v>0</v>
      </c>
      <c r="CY33">
        <f t="shared" si="23"/>
        <v>0</v>
      </c>
      <c r="CZ33">
        <f t="shared" si="24"/>
        <v>0</v>
      </c>
      <c r="DC33" t="s">
        <v>5</v>
      </c>
      <c r="DD33" t="s">
        <v>5</v>
      </c>
      <c r="DE33" t="s">
        <v>5</v>
      </c>
      <c r="DF33" t="s">
        <v>5</v>
      </c>
      <c r="DG33" t="s">
        <v>5</v>
      </c>
      <c r="DH33" t="s">
        <v>5</v>
      </c>
      <c r="DI33" t="s">
        <v>5</v>
      </c>
      <c r="DJ33" t="s">
        <v>5</v>
      </c>
      <c r="DK33" t="s">
        <v>5</v>
      </c>
      <c r="DL33" t="s">
        <v>5</v>
      </c>
      <c r="DM33" t="s">
        <v>5</v>
      </c>
      <c r="DN33">
        <v>140</v>
      </c>
      <c r="DO33">
        <v>79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1009</v>
      </c>
      <c r="DV33" t="s">
        <v>28</v>
      </c>
      <c r="DW33" t="s">
        <v>28</v>
      </c>
      <c r="DX33">
        <v>1000</v>
      </c>
      <c r="EE33">
        <v>14030029</v>
      </c>
      <c r="EF33">
        <v>30</v>
      </c>
      <c r="EG33" t="s">
        <v>22</v>
      </c>
      <c r="EH33">
        <v>0</v>
      </c>
      <c r="EI33" t="s">
        <v>5</v>
      </c>
      <c r="EJ33">
        <v>1</v>
      </c>
      <c r="EK33">
        <v>170</v>
      </c>
      <c r="EL33" t="s">
        <v>23</v>
      </c>
      <c r="EM33" t="s">
        <v>24</v>
      </c>
      <c r="EO33" t="s">
        <v>5</v>
      </c>
      <c r="EQ33">
        <v>0</v>
      </c>
      <c r="ER33">
        <v>0</v>
      </c>
      <c r="ES33">
        <v>38228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0</v>
      </c>
      <c r="FQ33">
        <v>0</v>
      </c>
      <c r="FR33">
        <f t="shared" si="25"/>
        <v>0</v>
      </c>
      <c r="FS33">
        <v>0</v>
      </c>
      <c r="FX33">
        <v>0</v>
      </c>
      <c r="FY33">
        <v>0</v>
      </c>
      <c r="GA33">
        <v>38228</v>
      </c>
      <c r="GB33">
        <v>38228</v>
      </c>
      <c r="GC33">
        <v>0</v>
      </c>
      <c r="GD33">
        <v>0</v>
      </c>
      <c r="GE33">
        <v>0</v>
      </c>
      <c r="GF33">
        <v>38228</v>
      </c>
      <c r="GG33">
        <v>38228</v>
      </c>
      <c r="GH33">
        <v>0</v>
      </c>
      <c r="GI33">
        <v>0</v>
      </c>
      <c r="GJ33">
        <v>0</v>
      </c>
      <c r="GK33">
        <v>0</v>
      </c>
    </row>
    <row r="34" spans="1:193">
      <c r="A34">
        <v>18</v>
      </c>
      <c r="B34">
        <v>1</v>
      </c>
      <c r="C34">
        <v>15</v>
      </c>
      <c r="E34" t="s">
        <v>57</v>
      </c>
      <c r="F34" t="s">
        <v>36</v>
      </c>
      <c r="G34" t="s">
        <v>37</v>
      </c>
      <c r="H34" t="s">
        <v>28</v>
      </c>
      <c r="I34">
        <f>I29*J34</f>
        <v>0</v>
      </c>
      <c r="J34">
        <v>0</v>
      </c>
      <c r="O34">
        <f t="shared" si="2"/>
        <v>0</v>
      </c>
      <c r="P34">
        <f t="shared" si="3"/>
        <v>0</v>
      </c>
      <c r="Q34">
        <f t="shared" si="4"/>
        <v>0</v>
      </c>
      <c r="R34">
        <f t="shared" si="5"/>
        <v>0</v>
      </c>
      <c r="S34">
        <f t="shared" si="6"/>
        <v>0</v>
      </c>
      <c r="T34">
        <f t="shared" si="7"/>
        <v>0</v>
      </c>
      <c r="U34">
        <f t="shared" si="8"/>
        <v>0</v>
      </c>
      <c r="V34">
        <f t="shared" si="9"/>
        <v>0</v>
      </c>
      <c r="W34">
        <f t="shared" si="10"/>
        <v>0</v>
      </c>
      <c r="X34">
        <f t="shared" si="11"/>
        <v>0</v>
      </c>
      <c r="Y34">
        <f t="shared" si="12"/>
        <v>0</v>
      </c>
      <c r="AA34">
        <v>0</v>
      </c>
      <c r="AB34">
        <f t="shared" si="13"/>
        <v>34547.81</v>
      </c>
      <c r="AC34">
        <f t="shared" si="27"/>
        <v>34547.81</v>
      </c>
      <c r="AD34">
        <f t="shared" si="27"/>
        <v>0</v>
      </c>
      <c r="AE34">
        <f t="shared" si="27"/>
        <v>0</v>
      </c>
      <c r="AF34">
        <f t="shared" si="27"/>
        <v>0</v>
      </c>
      <c r="AG34">
        <f t="shared" si="27"/>
        <v>0</v>
      </c>
      <c r="AH34">
        <f t="shared" si="27"/>
        <v>0</v>
      </c>
      <c r="AI34">
        <f t="shared" si="27"/>
        <v>0</v>
      </c>
      <c r="AJ34">
        <f t="shared" si="27"/>
        <v>0</v>
      </c>
      <c r="AK34">
        <v>34547.81</v>
      </c>
      <c r="AL34">
        <v>34547.81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2.0299999999999998</v>
      </c>
      <c r="BD34" t="s">
        <v>5</v>
      </c>
      <c r="BE34" t="s">
        <v>5</v>
      </c>
      <c r="BF34" t="s">
        <v>5</v>
      </c>
      <c r="BG34" t="s">
        <v>5</v>
      </c>
      <c r="BH34">
        <v>3</v>
      </c>
      <c r="BI34">
        <v>1</v>
      </c>
      <c r="BJ34" t="s">
        <v>38</v>
      </c>
      <c r="BM34">
        <v>170</v>
      </c>
      <c r="BN34">
        <v>0</v>
      </c>
      <c r="BO34" t="s">
        <v>36</v>
      </c>
      <c r="BP34">
        <v>1</v>
      </c>
      <c r="BQ34">
        <v>30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5</v>
      </c>
      <c r="BZ34">
        <v>0</v>
      </c>
      <c r="CA34">
        <v>0</v>
      </c>
      <c r="CF34">
        <v>0</v>
      </c>
      <c r="CG34">
        <v>0</v>
      </c>
      <c r="CM34">
        <v>0</v>
      </c>
      <c r="CN34" t="s">
        <v>5</v>
      </c>
      <c r="CO34">
        <v>0</v>
      </c>
      <c r="CP34">
        <f t="shared" si="14"/>
        <v>0</v>
      </c>
      <c r="CQ34">
        <f t="shared" si="15"/>
        <v>70132.054299999989</v>
      </c>
      <c r="CR34">
        <f t="shared" si="16"/>
        <v>0</v>
      </c>
      <c r="CS34">
        <f t="shared" si="17"/>
        <v>0</v>
      </c>
      <c r="CT34">
        <f t="shared" si="18"/>
        <v>0</v>
      </c>
      <c r="CU34">
        <f t="shared" si="19"/>
        <v>0</v>
      </c>
      <c r="CV34">
        <f t="shared" si="20"/>
        <v>0</v>
      </c>
      <c r="CW34">
        <f t="shared" si="21"/>
        <v>0</v>
      </c>
      <c r="CX34">
        <f t="shared" si="22"/>
        <v>0</v>
      </c>
      <c r="CY34">
        <f t="shared" si="23"/>
        <v>0</v>
      </c>
      <c r="CZ34">
        <f t="shared" si="24"/>
        <v>0</v>
      </c>
      <c r="DC34" t="s">
        <v>5</v>
      </c>
      <c r="DD34" t="s">
        <v>5</v>
      </c>
      <c r="DE34" t="s">
        <v>5</v>
      </c>
      <c r="DF34" t="s">
        <v>5</v>
      </c>
      <c r="DG34" t="s">
        <v>5</v>
      </c>
      <c r="DH34" t="s">
        <v>5</v>
      </c>
      <c r="DI34" t="s">
        <v>5</v>
      </c>
      <c r="DJ34" t="s">
        <v>5</v>
      </c>
      <c r="DK34" t="s">
        <v>5</v>
      </c>
      <c r="DL34" t="s">
        <v>5</v>
      </c>
      <c r="DM34" t="s">
        <v>5</v>
      </c>
      <c r="DN34">
        <v>140</v>
      </c>
      <c r="DO34">
        <v>79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1009</v>
      </c>
      <c r="DV34" t="s">
        <v>28</v>
      </c>
      <c r="DW34" t="s">
        <v>28</v>
      </c>
      <c r="DX34">
        <v>1000</v>
      </c>
      <c r="EE34">
        <v>14030029</v>
      </c>
      <c r="EF34">
        <v>30</v>
      </c>
      <c r="EG34" t="s">
        <v>22</v>
      </c>
      <c r="EH34">
        <v>0</v>
      </c>
      <c r="EI34" t="s">
        <v>5</v>
      </c>
      <c r="EJ34">
        <v>1</v>
      </c>
      <c r="EK34">
        <v>170</v>
      </c>
      <c r="EL34" t="s">
        <v>23</v>
      </c>
      <c r="EM34" t="s">
        <v>24</v>
      </c>
      <c r="EO34" t="s">
        <v>5</v>
      </c>
      <c r="EQ34">
        <v>0</v>
      </c>
      <c r="ER34">
        <v>0</v>
      </c>
      <c r="ES34">
        <v>34547.81</v>
      </c>
      <c r="ET34">
        <v>0</v>
      </c>
      <c r="EU34">
        <v>0</v>
      </c>
      <c r="EV34">
        <v>0</v>
      </c>
      <c r="EW34">
        <v>0</v>
      </c>
      <c r="EX34">
        <v>0</v>
      </c>
      <c r="EZ34">
        <v>0</v>
      </c>
      <c r="FQ34">
        <v>0</v>
      </c>
      <c r="FR34">
        <f t="shared" si="25"/>
        <v>0</v>
      </c>
      <c r="FS34">
        <v>0</v>
      </c>
      <c r="FX34">
        <v>0</v>
      </c>
      <c r="FY34">
        <v>0</v>
      </c>
      <c r="GA34">
        <v>34547.81</v>
      </c>
      <c r="GB34">
        <v>34547.81</v>
      </c>
      <c r="GC34">
        <v>0</v>
      </c>
      <c r="GD34">
        <v>0</v>
      </c>
      <c r="GE34">
        <v>0</v>
      </c>
      <c r="GF34">
        <v>34547.81</v>
      </c>
      <c r="GG34">
        <v>34547.81</v>
      </c>
      <c r="GH34">
        <v>0</v>
      </c>
      <c r="GI34">
        <v>0</v>
      </c>
      <c r="GJ34">
        <v>0</v>
      </c>
      <c r="GK34">
        <v>0</v>
      </c>
    </row>
    <row r="35" spans="1:193">
      <c r="A35">
        <v>18</v>
      </c>
      <c r="B35">
        <v>1</v>
      </c>
      <c r="C35">
        <v>17</v>
      </c>
      <c r="E35" t="s">
        <v>58</v>
      </c>
      <c r="F35" t="s">
        <v>59</v>
      </c>
      <c r="G35" t="s">
        <v>60</v>
      </c>
      <c r="H35" t="s">
        <v>33</v>
      </c>
      <c r="I35">
        <f>I29*J35</f>
        <v>0</v>
      </c>
      <c r="J35">
        <v>0</v>
      </c>
      <c r="O35">
        <f t="shared" si="2"/>
        <v>0</v>
      </c>
      <c r="P35">
        <f t="shared" si="3"/>
        <v>0</v>
      </c>
      <c r="Q35">
        <f t="shared" si="4"/>
        <v>0</v>
      </c>
      <c r="R35">
        <f t="shared" si="5"/>
        <v>0</v>
      </c>
      <c r="S35">
        <f t="shared" si="6"/>
        <v>0</v>
      </c>
      <c r="T35">
        <f t="shared" si="7"/>
        <v>0</v>
      </c>
      <c r="U35">
        <f t="shared" si="8"/>
        <v>0</v>
      </c>
      <c r="V35">
        <f t="shared" si="9"/>
        <v>0</v>
      </c>
      <c r="W35">
        <f t="shared" si="10"/>
        <v>0</v>
      </c>
      <c r="X35">
        <f t="shared" si="11"/>
        <v>0</v>
      </c>
      <c r="Y35">
        <f t="shared" si="12"/>
        <v>0</v>
      </c>
      <c r="AA35">
        <v>0</v>
      </c>
      <c r="AB35">
        <f t="shared" si="13"/>
        <v>26.75</v>
      </c>
      <c r="AC35">
        <f t="shared" si="27"/>
        <v>26.75</v>
      </c>
      <c r="AD35">
        <f t="shared" si="27"/>
        <v>0</v>
      </c>
      <c r="AE35">
        <f t="shared" si="27"/>
        <v>0</v>
      </c>
      <c r="AF35">
        <f t="shared" si="27"/>
        <v>0</v>
      </c>
      <c r="AG35">
        <f t="shared" si="27"/>
        <v>0</v>
      </c>
      <c r="AH35">
        <f t="shared" si="27"/>
        <v>0</v>
      </c>
      <c r="AI35">
        <f t="shared" si="27"/>
        <v>0</v>
      </c>
      <c r="AJ35">
        <f t="shared" si="27"/>
        <v>0</v>
      </c>
      <c r="AK35">
        <v>26.75</v>
      </c>
      <c r="AL35">
        <v>26.75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2.4500000000000002</v>
      </c>
      <c r="BD35" t="s">
        <v>5</v>
      </c>
      <c r="BE35" t="s">
        <v>5</v>
      </c>
      <c r="BF35" t="s">
        <v>5</v>
      </c>
      <c r="BG35" t="s">
        <v>5</v>
      </c>
      <c r="BH35">
        <v>3</v>
      </c>
      <c r="BI35">
        <v>1</v>
      </c>
      <c r="BJ35" t="s">
        <v>61</v>
      </c>
      <c r="BM35">
        <v>170</v>
      </c>
      <c r="BN35">
        <v>0</v>
      </c>
      <c r="BO35" t="s">
        <v>59</v>
      </c>
      <c r="BP35">
        <v>1</v>
      </c>
      <c r="BQ35">
        <v>30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5</v>
      </c>
      <c r="BZ35">
        <v>0</v>
      </c>
      <c r="CA35">
        <v>0</v>
      </c>
      <c r="CF35">
        <v>0</v>
      </c>
      <c r="CG35">
        <v>0</v>
      </c>
      <c r="CM35">
        <v>0</v>
      </c>
      <c r="CN35" t="s">
        <v>5</v>
      </c>
      <c r="CO35">
        <v>0</v>
      </c>
      <c r="CP35">
        <f t="shared" si="14"/>
        <v>0</v>
      </c>
      <c r="CQ35">
        <f t="shared" si="15"/>
        <v>65.537500000000009</v>
      </c>
      <c r="CR35">
        <f t="shared" si="16"/>
        <v>0</v>
      </c>
      <c r="CS35">
        <f t="shared" si="17"/>
        <v>0</v>
      </c>
      <c r="CT35">
        <f t="shared" si="18"/>
        <v>0</v>
      </c>
      <c r="CU35">
        <f t="shared" si="19"/>
        <v>0</v>
      </c>
      <c r="CV35">
        <f t="shared" si="20"/>
        <v>0</v>
      </c>
      <c r="CW35">
        <f t="shared" si="21"/>
        <v>0</v>
      </c>
      <c r="CX35">
        <f t="shared" si="22"/>
        <v>0</v>
      </c>
      <c r="CY35">
        <f t="shared" si="23"/>
        <v>0</v>
      </c>
      <c r="CZ35">
        <f t="shared" si="24"/>
        <v>0</v>
      </c>
      <c r="DC35" t="s">
        <v>5</v>
      </c>
      <c r="DD35" t="s">
        <v>5</v>
      </c>
      <c r="DE35" t="s">
        <v>5</v>
      </c>
      <c r="DF35" t="s">
        <v>5</v>
      </c>
      <c r="DG35" t="s">
        <v>5</v>
      </c>
      <c r="DH35" t="s">
        <v>5</v>
      </c>
      <c r="DI35" t="s">
        <v>5</v>
      </c>
      <c r="DJ35" t="s">
        <v>5</v>
      </c>
      <c r="DK35" t="s">
        <v>5</v>
      </c>
      <c r="DL35" t="s">
        <v>5</v>
      </c>
      <c r="DM35" t="s">
        <v>5</v>
      </c>
      <c r="DN35">
        <v>140</v>
      </c>
      <c r="DO35">
        <v>79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1009</v>
      </c>
      <c r="DV35" t="s">
        <v>33</v>
      </c>
      <c r="DW35" t="s">
        <v>33</v>
      </c>
      <c r="DX35">
        <v>1</v>
      </c>
      <c r="EE35">
        <v>14030029</v>
      </c>
      <c r="EF35">
        <v>30</v>
      </c>
      <c r="EG35" t="s">
        <v>22</v>
      </c>
      <c r="EH35">
        <v>0</v>
      </c>
      <c r="EI35" t="s">
        <v>5</v>
      </c>
      <c r="EJ35">
        <v>1</v>
      </c>
      <c r="EK35">
        <v>170</v>
      </c>
      <c r="EL35" t="s">
        <v>23</v>
      </c>
      <c r="EM35" t="s">
        <v>24</v>
      </c>
      <c r="EO35" t="s">
        <v>5</v>
      </c>
      <c r="EQ35">
        <v>0</v>
      </c>
      <c r="ER35">
        <v>0</v>
      </c>
      <c r="ES35">
        <v>26.75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0</v>
      </c>
      <c r="FQ35">
        <v>0</v>
      </c>
      <c r="FR35">
        <f t="shared" si="25"/>
        <v>0</v>
      </c>
      <c r="FS35">
        <v>0</v>
      </c>
      <c r="FX35">
        <v>0</v>
      </c>
      <c r="FY35">
        <v>0</v>
      </c>
      <c r="GA35">
        <v>26.75</v>
      </c>
      <c r="GB35">
        <v>26.75</v>
      </c>
      <c r="GC35">
        <v>0</v>
      </c>
      <c r="GD35">
        <v>0</v>
      </c>
      <c r="GE35">
        <v>0</v>
      </c>
      <c r="GF35">
        <v>26.75</v>
      </c>
      <c r="GG35">
        <v>26.75</v>
      </c>
      <c r="GH35">
        <v>0</v>
      </c>
      <c r="GI35">
        <v>0</v>
      </c>
      <c r="GJ35">
        <v>0</v>
      </c>
      <c r="GK35">
        <v>0</v>
      </c>
    </row>
    <row r="36" spans="1:193">
      <c r="A36">
        <v>18</v>
      </c>
      <c r="B36">
        <v>1</v>
      </c>
      <c r="C36">
        <v>18</v>
      </c>
      <c r="E36" t="s">
        <v>62</v>
      </c>
      <c r="F36" t="s">
        <v>40</v>
      </c>
      <c r="G36" t="s">
        <v>41</v>
      </c>
      <c r="H36" t="s">
        <v>28</v>
      </c>
      <c r="I36">
        <f>I29*J36</f>
        <v>0</v>
      </c>
      <c r="J36">
        <v>0</v>
      </c>
      <c r="O36">
        <f t="shared" si="2"/>
        <v>0</v>
      </c>
      <c r="P36">
        <f t="shared" si="3"/>
        <v>0</v>
      </c>
      <c r="Q36">
        <f t="shared" si="4"/>
        <v>0</v>
      </c>
      <c r="R36">
        <f t="shared" si="5"/>
        <v>0</v>
      </c>
      <c r="S36">
        <f t="shared" si="6"/>
        <v>0</v>
      </c>
      <c r="T36">
        <f t="shared" si="7"/>
        <v>0</v>
      </c>
      <c r="U36">
        <f t="shared" si="8"/>
        <v>0</v>
      </c>
      <c r="V36">
        <f t="shared" si="9"/>
        <v>0</v>
      </c>
      <c r="W36">
        <f t="shared" si="10"/>
        <v>0</v>
      </c>
      <c r="X36">
        <f t="shared" si="11"/>
        <v>0</v>
      </c>
      <c r="Y36">
        <f t="shared" si="12"/>
        <v>0</v>
      </c>
      <c r="AA36">
        <v>0</v>
      </c>
      <c r="AB36">
        <f t="shared" si="13"/>
        <v>29915.65</v>
      </c>
      <c r="AC36">
        <f t="shared" si="27"/>
        <v>29915.65</v>
      </c>
      <c r="AD36">
        <f t="shared" si="27"/>
        <v>0</v>
      </c>
      <c r="AE36">
        <f t="shared" si="27"/>
        <v>0</v>
      </c>
      <c r="AF36">
        <f t="shared" si="27"/>
        <v>0</v>
      </c>
      <c r="AG36">
        <f t="shared" si="27"/>
        <v>0</v>
      </c>
      <c r="AH36">
        <f t="shared" si="27"/>
        <v>0</v>
      </c>
      <c r="AI36">
        <f t="shared" si="27"/>
        <v>0</v>
      </c>
      <c r="AJ36">
        <f t="shared" si="27"/>
        <v>0</v>
      </c>
      <c r="AK36">
        <v>29915.65</v>
      </c>
      <c r="AL36">
        <v>29915.65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2.33</v>
      </c>
      <c r="BD36" t="s">
        <v>5</v>
      </c>
      <c r="BE36" t="s">
        <v>5</v>
      </c>
      <c r="BF36" t="s">
        <v>5</v>
      </c>
      <c r="BG36" t="s">
        <v>5</v>
      </c>
      <c r="BH36">
        <v>3</v>
      </c>
      <c r="BI36">
        <v>1</v>
      </c>
      <c r="BJ36" t="s">
        <v>42</v>
      </c>
      <c r="BM36">
        <v>170</v>
      </c>
      <c r="BN36">
        <v>0</v>
      </c>
      <c r="BO36" t="s">
        <v>40</v>
      </c>
      <c r="BP36">
        <v>1</v>
      </c>
      <c r="BQ36">
        <v>30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5</v>
      </c>
      <c r="BZ36">
        <v>0</v>
      </c>
      <c r="CA36">
        <v>0</v>
      </c>
      <c r="CF36">
        <v>0</v>
      </c>
      <c r="CG36">
        <v>0</v>
      </c>
      <c r="CM36">
        <v>0</v>
      </c>
      <c r="CN36" t="s">
        <v>5</v>
      </c>
      <c r="CO36">
        <v>0</v>
      </c>
      <c r="CP36">
        <f t="shared" si="14"/>
        <v>0</v>
      </c>
      <c r="CQ36">
        <f t="shared" si="15"/>
        <v>69703.464500000002</v>
      </c>
      <c r="CR36">
        <f t="shared" si="16"/>
        <v>0</v>
      </c>
      <c r="CS36">
        <f t="shared" si="17"/>
        <v>0</v>
      </c>
      <c r="CT36">
        <f t="shared" si="18"/>
        <v>0</v>
      </c>
      <c r="CU36">
        <f t="shared" si="19"/>
        <v>0</v>
      </c>
      <c r="CV36">
        <f t="shared" si="20"/>
        <v>0</v>
      </c>
      <c r="CW36">
        <f t="shared" si="21"/>
        <v>0</v>
      </c>
      <c r="CX36">
        <f t="shared" si="22"/>
        <v>0</v>
      </c>
      <c r="CY36">
        <f t="shared" si="23"/>
        <v>0</v>
      </c>
      <c r="CZ36">
        <f t="shared" si="24"/>
        <v>0</v>
      </c>
      <c r="DC36" t="s">
        <v>5</v>
      </c>
      <c r="DD36" t="s">
        <v>5</v>
      </c>
      <c r="DE36" t="s">
        <v>5</v>
      </c>
      <c r="DF36" t="s">
        <v>5</v>
      </c>
      <c r="DG36" t="s">
        <v>5</v>
      </c>
      <c r="DH36" t="s">
        <v>5</v>
      </c>
      <c r="DI36" t="s">
        <v>5</v>
      </c>
      <c r="DJ36" t="s">
        <v>5</v>
      </c>
      <c r="DK36" t="s">
        <v>5</v>
      </c>
      <c r="DL36" t="s">
        <v>5</v>
      </c>
      <c r="DM36" t="s">
        <v>5</v>
      </c>
      <c r="DN36">
        <v>140</v>
      </c>
      <c r="DO36">
        <v>79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1009</v>
      </c>
      <c r="DV36" t="s">
        <v>28</v>
      </c>
      <c r="DW36" t="s">
        <v>28</v>
      </c>
      <c r="DX36">
        <v>1000</v>
      </c>
      <c r="EE36">
        <v>14030029</v>
      </c>
      <c r="EF36">
        <v>30</v>
      </c>
      <c r="EG36" t="s">
        <v>22</v>
      </c>
      <c r="EH36">
        <v>0</v>
      </c>
      <c r="EI36" t="s">
        <v>5</v>
      </c>
      <c r="EJ36">
        <v>1</v>
      </c>
      <c r="EK36">
        <v>170</v>
      </c>
      <c r="EL36" t="s">
        <v>23</v>
      </c>
      <c r="EM36" t="s">
        <v>24</v>
      </c>
      <c r="EO36" t="s">
        <v>5</v>
      </c>
      <c r="EQ36">
        <v>0</v>
      </c>
      <c r="ER36">
        <v>0</v>
      </c>
      <c r="ES36">
        <v>29915.65</v>
      </c>
      <c r="ET36">
        <v>0</v>
      </c>
      <c r="EU36">
        <v>0</v>
      </c>
      <c r="EV36">
        <v>0</v>
      </c>
      <c r="EW36">
        <v>0</v>
      </c>
      <c r="EX36">
        <v>0</v>
      </c>
      <c r="EZ36">
        <v>0</v>
      </c>
      <c r="FQ36">
        <v>0</v>
      </c>
      <c r="FR36">
        <f t="shared" si="25"/>
        <v>0</v>
      </c>
      <c r="FS36">
        <v>0</v>
      </c>
      <c r="FX36">
        <v>0</v>
      </c>
      <c r="FY36">
        <v>0</v>
      </c>
      <c r="GA36">
        <v>29915.65</v>
      </c>
      <c r="GB36">
        <v>29915.65</v>
      </c>
      <c r="GC36">
        <v>0</v>
      </c>
      <c r="GD36">
        <v>0</v>
      </c>
      <c r="GE36">
        <v>0</v>
      </c>
      <c r="GF36">
        <v>29915.65</v>
      </c>
      <c r="GG36">
        <v>29915.65</v>
      </c>
      <c r="GH36">
        <v>0</v>
      </c>
      <c r="GI36">
        <v>0</v>
      </c>
      <c r="GJ36">
        <v>0</v>
      </c>
      <c r="GK36">
        <v>0</v>
      </c>
    </row>
    <row r="37" spans="1:193">
      <c r="A37">
        <v>17</v>
      </c>
      <c r="B37">
        <v>1</v>
      </c>
      <c r="C37">
        <f>ROW(SmtRes!A20)</f>
        <v>20</v>
      </c>
      <c r="D37">
        <f>ROW(EtalonRes!A7)</f>
        <v>7</v>
      </c>
      <c r="E37" t="s">
        <v>63</v>
      </c>
      <c r="F37" t="s">
        <v>64</v>
      </c>
      <c r="G37" t="s">
        <v>65</v>
      </c>
      <c r="H37" t="s">
        <v>66</v>
      </c>
      <c r="I37">
        <v>0</v>
      </c>
      <c r="J37">
        <v>0</v>
      </c>
      <c r="O37">
        <f t="shared" si="2"/>
        <v>0</v>
      </c>
      <c r="P37">
        <f t="shared" si="3"/>
        <v>0</v>
      </c>
      <c r="Q37">
        <f t="shared" si="4"/>
        <v>0</v>
      </c>
      <c r="R37">
        <f t="shared" si="5"/>
        <v>0</v>
      </c>
      <c r="S37">
        <f t="shared" si="6"/>
        <v>0</v>
      </c>
      <c r="T37">
        <f t="shared" si="7"/>
        <v>0</v>
      </c>
      <c r="U37">
        <f t="shared" si="8"/>
        <v>0</v>
      </c>
      <c r="V37">
        <f t="shared" si="9"/>
        <v>0</v>
      </c>
      <c r="W37">
        <f t="shared" si="10"/>
        <v>0</v>
      </c>
      <c r="X37">
        <f t="shared" si="11"/>
        <v>0</v>
      </c>
      <c r="Y37">
        <f t="shared" si="12"/>
        <v>0</v>
      </c>
      <c r="AA37">
        <v>0</v>
      </c>
      <c r="AB37">
        <f t="shared" si="13"/>
        <v>2735.2</v>
      </c>
      <c r="AC37">
        <f>(ES37)</f>
        <v>0</v>
      </c>
      <c r="AD37">
        <f>(ET37)</f>
        <v>0</v>
      </c>
      <c r="AE37">
        <f>(EU37)</f>
        <v>0</v>
      </c>
      <c r="AF37">
        <f>(EV37)</f>
        <v>2735.2</v>
      </c>
      <c r="AG37">
        <f>(AP37)</f>
        <v>0</v>
      </c>
      <c r="AH37">
        <f>(EW37)</f>
        <v>260</v>
      </c>
      <c r="AI37">
        <f>(EX37)</f>
        <v>0</v>
      </c>
      <c r="AJ37">
        <f>(AS37)</f>
        <v>0</v>
      </c>
      <c r="AK37">
        <v>2735.2</v>
      </c>
      <c r="AL37">
        <v>0</v>
      </c>
      <c r="AM37">
        <v>0</v>
      </c>
      <c r="AN37">
        <v>0</v>
      </c>
      <c r="AO37">
        <v>2735.2</v>
      </c>
      <c r="AP37">
        <v>0</v>
      </c>
      <c r="AQ37">
        <v>260</v>
      </c>
      <c r="AR37">
        <v>0</v>
      </c>
      <c r="AS37">
        <v>0</v>
      </c>
      <c r="AT37">
        <v>78</v>
      </c>
      <c r="AU37">
        <v>42</v>
      </c>
      <c r="AV37">
        <v>1.248</v>
      </c>
      <c r="AW37">
        <v>1</v>
      </c>
      <c r="AX37">
        <v>1</v>
      </c>
      <c r="AY37">
        <v>1</v>
      </c>
      <c r="AZ37">
        <v>13.09</v>
      </c>
      <c r="BA37">
        <v>13.09</v>
      </c>
      <c r="BB37">
        <v>1</v>
      </c>
      <c r="BC37">
        <v>1</v>
      </c>
      <c r="BD37" t="s">
        <v>5</v>
      </c>
      <c r="BE37" t="s">
        <v>5</v>
      </c>
      <c r="BF37" t="s">
        <v>5</v>
      </c>
      <c r="BG37" t="s">
        <v>5</v>
      </c>
      <c r="BH37">
        <v>0</v>
      </c>
      <c r="BI37">
        <v>1</v>
      </c>
      <c r="BJ37" t="s">
        <v>67</v>
      </c>
      <c r="BM37">
        <v>390</v>
      </c>
      <c r="BN37">
        <v>0</v>
      </c>
      <c r="BO37" t="s">
        <v>64</v>
      </c>
      <c r="BP37">
        <v>1</v>
      </c>
      <c r="BQ37">
        <v>60</v>
      </c>
      <c r="BR37">
        <v>0</v>
      </c>
      <c r="BS37">
        <v>13.09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5</v>
      </c>
      <c r="BZ37">
        <v>78</v>
      </c>
      <c r="CA37">
        <v>42</v>
      </c>
      <c r="CF37">
        <v>0</v>
      </c>
      <c r="CG37">
        <v>0</v>
      </c>
      <c r="CM37">
        <v>0</v>
      </c>
      <c r="CN37" t="s">
        <v>5</v>
      </c>
      <c r="CO37">
        <v>0</v>
      </c>
      <c r="CP37">
        <f t="shared" si="14"/>
        <v>0</v>
      </c>
      <c r="CQ37">
        <f t="shared" si="15"/>
        <v>0</v>
      </c>
      <c r="CR37">
        <f t="shared" si="16"/>
        <v>0</v>
      </c>
      <c r="CS37">
        <f t="shared" si="17"/>
        <v>0</v>
      </c>
      <c r="CT37">
        <f t="shared" si="18"/>
        <v>44683.102463999996</v>
      </c>
      <c r="CU37">
        <f t="shared" si="19"/>
        <v>0</v>
      </c>
      <c r="CV37">
        <f t="shared" si="20"/>
        <v>324.48</v>
      </c>
      <c r="CW37">
        <f t="shared" si="21"/>
        <v>0</v>
      </c>
      <c r="CX37">
        <f t="shared" si="22"/>
        <v>0</v>
      </c>
      <c r="CY37">
        <f t="shared" si="23"/>
        <v>0</v>
      </c>
      <c r="CZ37">
        <f t="shared" si="24"/>
        <v>0</v>
      </c>
      <c r="DC37" t="s">
        <v>5</v>
      </c>
      <c r="DD37" t="s">
        <v>5</v>
      </c>
      <c r="DE37" t="s">
        <v>5</v>
      </c>
      <c r="DF37" t="s">
        <v>5</v>
      </c>
      <c r="DG37" t="s">
        <v>5</v>
      </c>
      <c r="DH37" t="s">
        <v>5</v>
      </c>
      <c r="DI37" t="s">
        <v>5</v>
      </c>
      <c r="DJ37" t="s">
        <v>5</v>
      </c>
      <c r="DK37" t="s">
        <v>5</v>
      </c>
      <c r="DL37" t="s">
        <v>5</v>
      </c>
      <c r="DM37" t="s">
        <v>5</v>
      </c>
      <c r="DN37">
        <v>91</v>
      </c>
      <c r="DO37">
        <v>67</v>
      </c>
      <c r="DP37">
        <v>1.248</v>
      </c>
      <c r="DQ37">
        <v>1</v>
      </c>
      <c r="DR37">
        <v>1</v>
      </c>
      <c r="DS37">
        <v>1</v>
      </c>
      <c r="DT37">
        <v>1</v>
      </c>
      <c r="DU37">
        <v>1013</v>
      </c>
      <c r="DV37" t="s">
        <v>66</v>
      </c>
      <c r="DW37" t="s">
        <v>66</v>
      </c>
      <c r="DX37">
        <v>1</v>
      </c>
      <c r="EE37">
        <v>14030249</v>
      </c>
      <c r="EF37">
        <v>60</v>
      </c>
      <c r="EG37" t="s">
        <v>68</v>
      </c>
      <c r="EH37">
        <v>0</v>
      </c>
      <c r="EI37" t="s">
        <v>5</v>
      </c>
      <c r="EJ37">
        <v>1</v>
      </c>
      <c r="EK37">
        <v>390</v>
      </c>
      <c r="EL37" t="s">
        <v>69</v>
      </c>
      <c r="EM37" t="s">
        <v>70</v>
      </c>
      <c r="EO37" t="s">
        <v>5</v>
      </c>
      <c r="EQ37">
        <v>64</v>
      </c>
      <c r="ER37">
        <v>2735.2</v>
      </c>
      <c r="ES37">
        <v>0</v>
      </c>
      <c r="ET37">
        <v>0</v>
      </c>
      <c r="EU37">
        <v>0</v>
      </c>
      <c r="EV37">
        <v>2735.2</v>
      </c>
      <c r="EW37">
        <v>260</v>
      </c>
      <c r="EX37">
        <v>0</v>
      </c>
      <c r="EY37">
        <v>0</v>
      </c>
      <c r="EZ37">
        <v>0</v>
      </c>
      <c r="FQ37">
        <v>0</v>
      </c>
      <c r="FR37">
        <f t="shared" si="25"/>
        <v>0</v>
      </c>
      <c r="FS37">
        <v>0</v>
      </c>
      <c r="FX37">
        <v>78</v>
      </c>
      <c r="FY37">
        <v>42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</row>
    <row r="38" spans="1:193">
      <c r="A38">
        <v>17</v>
      </c>
      <c r="B38">
        <v>1</v>
      </c>
      <c r="C38">
        <f>ROW(SmtRes!A27)</f>
        <v>27</v>
      </c>
      <c r="D38">
        <f>ROW(EtalonRes!A12)</f>
        <v>12</v>
      </c>
      <c r="E38" t="s">
        <v>71</v>
      </c>
      <c r="F38" t="s">
        <v>72</v>
      </c>
      <c r="G38" t="s">
        <v>73</v>
      </c>
      <c r="H38" t="s">
        <v>74</v>
      </c>
      <c r="I38">
        <v>2.46</v>
      </c>
      <c r="J38">
        <v>0</v>
      </c>
      <c r="O38">
        <f t="shared" si="2"/>
        <v>120790.17</v>
      </c>
      <c r="P38">
        <f t="shared" si="3"/>
        <v>8517.31</v>
      </c>
      <c r="Q38">
        <f t="shared" si="4"/>
        <v>0</v>
      </c>
      <c r="R38">
        <f t="shared" si="5"/>
        <v>0</v>
      </c>
      <c r="S38">
        <f t="shared" si="6"/>
        <v>112272.86</v>
      </c>
      <c r="T38">
        <f t="shared" si="7"/>
        <v>0</v>
      </c>
      <c r="U38">
        <f t="shared" si="8"/>
        <v>767.17417320000004</v>
      </c>
      <c r="V38">
        <f t="shared" si="9"/>
        <v>0</v>
      </c>
      <c r="W38">
        <f t="shared" si="10"/>
        <v>0</v>
      </c>
      <c r="X38">
        <f t="shared" si="11"/>
        <v>87572.83</v>
      </c>
      <c r="Y38">
        <f t="shared" si="12"/>
        <v>47154.6</v>
      </c>
      <c r="AA38">
        <v>0</v>
      </c>
      <c r="AB38">
        <f t="shared" si="13"/>
        <v>4511.75</v>
      </c>
      <c r="AC38">
        <f>(ES38)</f>
        <v>1181.68</v>
      </c>
      <c r="AD38">
        <f>((ET38*0))</f>
        <v>0</v>
      </c>
      <c r="AE38">
        <f>((EU38*0))</f>
        <v>0</v>
      </c>
      <c r="AF38">
        <f>(EV38)</f>
        <v>3330.07</v>
      </c>
      <c r="AG38">
        <f>(AP38)</f>
        <v>0</v>
      </c>
      <c r="AH38">
        <f>(EW38)</f>
        <v>297.86</v>
      </c>
      <c r="AI38">
        <f>((EX38*0))</f>
        <v>0</v>
      </c>
      <c r="AJ38">
        <f>(AS38)</f>
        <v>0</v>
      </c>
      <c r="AK38">
        <v>5627.0400000000009</v>
      </c>
      <c r="AL38">
        <v>1181.68</v>
      </c>
      <c r="AM38">
        <v>1115.29</v>
      </c>
      <c r="AN38">
        <v>247.94</v>
      </c>
      <c r="AO38">
        <v>3330.07</v>
      </c>
      <c r="AP38">
        <v>0</v>
      </c>
      <c r="AQ38">
        <v>297.86</v>
      </c>
      <c r="AR38">
        <v>0</v>
      </c>
      <c r="AS38">
        <v>0</v>
      </c>
      <c r="AT38">
        <v>78</v>
      </c>
      <c r="AU38">
        <v>42</v>
      </c>
      <c r="AV38">
        <v>1.0469999999999999</v>
      </c>
      <c r="AW38">
        <v>1</v>
      </c>
      <c r="AX38">
        <v>1</v>
      </c>
      <c r="AY38">
        <v>1</v>
      </c>
      <c r="AZ38">
        <v>13.09</v>
      </c>
      <c r="BA38">
        <v>13.09</v>
      </c>
      <c r="BB38">
        <v>7.91</v>
      </c>
      <c r="BC38">
        <v>2.93</v>
      </c>
      <c r="BD38" t="s">
        <v>5</v>
      </c>
      <c r="BE38" t="s">
        <v>5</v>
      </c>
      <c r="BF38" t="s">
        <v>5</v>
      </c>
      <c r="BG38" t="s">
        <v>5</v>
      </c>
      <c r="BH38">
        <v>0</v>
      </c>
      <c r="BI38">
        <v>1</v>
      </c>
      <c r="BJ38" t="s">
        <v>75</v>
      </c>
      <c r="BM38">
        <v>167</v>
      </c>
      <c r="BN38">
        <v>0</v>
      </c>
      <c r="BO38" t="s">
        <v>72</v>
      </c>
      <c r="BP38">
        <v>1</v>
      </c>
      <c r="BQ38">
        <v>30</v>
      </c>
      <c r="BR38">
        <v>0</v>
      </c>
      <c r="BS38">
        <v>13.09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5</v>
      </c>
      <c r="BZ38">
        <v>78</v>
      </c>
      <c r="CA38">
        <v>42</v>
      </c>
      <c r="CF38">
        <v>0</v>
      </c>
      <c r="CG38">
        <v>0</v>
      </c>
      <c r="CM38">
        <v>0</v>
      </c>
      <c r="CN38" t="s">
        <v>5</v>
      </c>
      <c r="CO38">
        <v>0</v>
      </c>
      <c r="CP38">
        <f t="shared" si="14"/>
        <v>120790.17</v>
      </c>
      <c r="CQ38">
        <f t="shared" si="15"/>
        <v>3462.3224000000005</v>
      </c>
      <c r="CR38">
        <f t="shared" si="16"/>
        <v>0</v>
      </c>
      <c r="CS38">
        <f t="shared" si="17"/>
        <v>0</v>
      </c>
      <c r="CT38">
        <f t="shared" si="18"/>
        <v>45639.375266100004</v>
      </c>
      <c r="CU38">
        <f t="shared" si="19"/>
        <v>0</v>
      </c>
      <c r="CV38">
        <f t="shared" si="20"/>
        <v>311.85942</v>
      </c>
      <c r="CW38">
        <f t="shared" si="21"/>
        <v>0</v>
      </c>
      <c r="CX38">
        <f t="shared" si="22"/>
        <v>0</v>
      </c>
      <c r="CY38">
        <f t="shared" si="23"/>
        <v>87572.830800000011</v>
      </c>
      <c r="CZ38">
        <f t="shared" si="24"/>
        <v>47154.601199999997</v>
      </c>
      <c r="DC38" t="s">
        <v>5</v>
      </c>
      <c r="DD38" t="s">
        <v>5</v>
      </c>
      <c r="DE38" t="s">
        <v>76</v>
      </c>
      <c r="DF38" t="s">
        <v>76</v>
      </c>
      <c r="DG38" t="s">
        <v>5</v>
      </c>
      <c r="DH38" t="s">
        <v>5</v>
      </c>
      <c r="DI38" t="s">
        <v>5</v>
      </c>
      <c r="DJ38" t="s">
        <v>76</v>
      </c>
      <c r="DK38" t="s">
        <v>5</v>
      </c>
      <c r="DL38" t="s">
        <v>5</v>
      </c>
      <c r="DM38" t="s">
        <v>5</v>
      </c>
      <c r="DN38">
        <v>91</v>
      </c>
      <c r="DO38">
        <v>70</v>
      </c>
      <c r="DP38">
        <v>1.0469999999999999</v>
      </c>
      <c r="DQ38">
        <v>1</v>
      </c>
      <c r="DR38">
        <v>1</v>
      </c>
      <c r="DS38">
        <v>1</v>
      </c>
      <c r="DT38">
        <v>1</v>
      </c>
      <c r="DU38">
        <v>1010</v>
      </c>
      <c r="DV38" t="s">
        <v>74</v>
      </c>
      <c r="DW38" t="s">
        <v>74</v>
      </c>
      <c r="DX38">
        <v>100</v>
      </c>
      <c r="EE38">
        <v>14030026</v>
      </c>
      <c r="EF38">
        <v>30</v>
      </c>
      <c r="EG38" t="s">
        <v>22</v>
      </c>
      <c r="EH38">
        <v>0</v>
      </c>
      <c r="EI38" t="s">
        <v>5</v>
      </c>
      <c r="EJ38">
        <v>1</v>
      </c>
      <c r="EK38">
        <v>167</v>
      </c>
      <c r="EL38" t="s">
        <v>77</v>
      </c>
      <c r="EM38" t="s">
        <v>78</v>
      </c>
      <c r="EO38" t="s">
        <v>5</v>
      </c>
      <c r="EQ38">
        <v>64</v>
      </c>
      <c r="ER38">
        <v>5627.04</v>
      </c>
      <c r="ES38">
        <v>1181.68</v>
      </c>
      <c r="ET38">
        <v>1115.29</v>
      </c>
      <c r="EU38">
        <v>247.94</v>
      </c>
      <c r="EV38">
        <v>3330.07</v>
      </c>
      <c r="EW38">
        <v>297.86</v>
      </c>
      <c r="EX38">
        <v>0</v>
      </c>
      <c r="EY38">
        <v>0</v>
      </c>
      <c r="EZ38">
        <v>0</v>
      </c>
      <c r="FQ38">
        <v>0</v>
      </c>
      <c r="FR38">
        <f t="shared" si="25"/>
        <v>0</v>
      </c>
      <c r="FS38">
        <v>0</v>
      </c>
      <c r="FX38">
        <v>78</v>
      </c>
      <c r="FY38">
        <v>42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</row>
    <row r="39" spans="1:193">
      <c r="A39">
        <v>18</v>
      </c>
      <c r="B39">
        <v>1</v>
      </c>
      <c r="C39">
        <v>24</v>
      </c>
      <c r="E39" t="s">
        <v>79</v>
      </c>
      <c r="F39" t="s">
        <v>80</v>
      </c>
      <c r="G39" t="s">
        <v>81</v>
      </c>
      <c r="H39" t="s">
        <v>82</v>
      </c>
      <c r="I39">
        <f>I38*J39</f>
        <v>246</v>
      </c>
      <c r="J39">
        <v>100</v>
      </c>
      <c r="O39">
        <f t="shared" si="2"/>
        <v>429596.69</v>
      </c>
      <c r="P39">
        <f t="shared" si="3"/>
        <v>429596.69</v>
      </c>
      <c r="Q39">
        <f t="shared" si="4"/>
        <v>0</v>
      </c>
      <c r="R39">
        <f t="shared" si="5"/>
        <v>0</v>
      </c>
      <c r="S39">
        <f t="shared" si="6"/>
        <v>0</v>
      </c>
      <c r="T39">
        <f t="shared" si="7"/>
        <v>0</v>
      </c>
      <c r="U39">
        <f t="shared" si="8"/>
        <v>0</v>
      </c>
      <c r="V39">
        <f t="shared" si="9"/>
        <v>0</v>
      </c>
      <c r="W39">
        <f t="shared" si="10"/>
        <v>0</v>
      </c>
      <c r="X39">
        <f t="shared" si="11"/>
        <v>0</v>
      </c>
      <c r="Y39">
        <f t="shared" si="12"/>
        <v>0</v>
      </c>
      <c r="AA39">
        <v>0</v>
      </c>
      <c r="AB39">
        <f t="shared" si="13"/>
        <v>574.45000000000005</v>
      </c>
      <c r="AC39">
        <f t="shared" ref="AC39:AJ41" si="28">AL39</f>
        <v>574.45000000000005</v>
      </c>
      <c r="AD39">
        <f t="shared" si="28"/>
        <v>0</v>
      </c>
      <c r="AE39">
        <f t="shared" si="28"/>
        <v>0</v>
      </c>
      <c r="AF39">
        <f t="shared" si="28"/>
        <v>0</v>
      </c>
      <c r="AG39">
        <f t="shared" si="28"/>
        <v>0</v>
      </c>
      <c r="AH39">
        <f t="shared" si="28"/>
        <v>0</v>
      </c>
      <c r="AI39">
        <f t="shared" si="28"/>
        <v>0</v>
      </c>
      <c r="AJ39">
        <f t="shared" si="28"/>
        <v>0</v>
      </c>
      <c r="AK39">
        <v>574.45000000000005</v>
      </c>
      <c r="AL39">
        <v>574.45000000000005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1.0469999999999999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3.04</v>
      </c>
      <c r="BD39" t="s">
        <v>5</v>
      </c>
      <c r="BE39" t="s">
        <v>5</v>
      </c>
      <c r="BF39" t="s">
        <v>5</v>
      </c>
      <c r="BG39" t="s">
        <v>5</v>
      </c>
      <c r="BH39">
        <v>3</v>
      </c>
      <c r="BI39">
        <v>1</v>
      </c>
      <c r="BJ39" t="s">
        <v>83</v>
      </c>
      <c r="BM39">
        <v>167</v>
      </c>
      <c r="BN39">
        <v>0</v>
      </c>
      <c r="BO39" t="s">
        <v>80</v>
      </c>
      <c r="BP39">
        <v>1</v>
      </c>
      <c r="BQ39">
        <v>30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5</v>
      </c>
      <c r="BZ39">
        <v>0</v>
      </c>
      <c r="CA39">
        <v>0</v>
      </c>
      <c r="CF39">
        <v>0</v>
      </c>
      <c r="CG39">
        <v>0</v>
      </c>
      <c r="CM39">
        <v>0</v>
      </c>
      <c r="CN39" t="s">
        <v>5</v>
      </c>
      <c r="CO39">
        <v>0</v>
      </c>
      <c r="CP39">
        <f t="shared" si="14"/>
        <v>429596.69</v>
      </c>
      <c r="CQ39">
        <f t="shared" si="15"/>
        <v>1746.3280000000002</v>
      </c>
      <c r="CR39">
        <f t="shared" si="16"/>
        <v>0</v>
      </c>
      <c r="CS39">
        <f t="shared" si="17"/>
        <v>0</v>
      </c>
      <c r="CT39">
        <f t="shared" si="18"/>
        <v>0</v>
      </c>
      <c r="CU39">
        <f t="shared" si="19"/>
        <v>0</v>
      </c>
      <c r="CV39">
        <f t="shared" si="20"/>
        <v>0</v>
      </c>
      <c r="CW39">
        <f t="shared" si="21"/>
        <v>0</v>
      </c>
      <c r="CX39">
        <f t="shared" si="22"/>
        <v>0</v>
      </c>
      <c r="CY39">
        <f t="shared" si="23"/>
        <v>0</v>
      </c>
      <c r="CZ39">
        <f t="shared" si="24"/>
        <v>0</v>
      </c>
      <c r="DC39" t="s">
        <v>5</v>
      </c>
      <c r="DD39" t="s">
        <v>5</v>
      </c>
      <c r="DE39" t="s">
        <v>5</v>
      </c>
      <c r="DF39" t="s">
        <v>5</v>
      </c>
      <c r="DG39" t="s">
        <v>5</v>
      </c>
      <c r="DH39" t="s">
        <v>5</v>
      </c>
      <c r="DI39" t="s">
        <v>5</v>
      </c>
      <c r="DJ39" t="s">
        <v>5</v>
      </c>
      <c r="DK39" t="s">
        <v>5</v>
      </c>
      <c r="DL39" t="s">
        <v>5</v>
      </c>
      <c r="DM39" t="s">
        <v>5</v>
      </c>
      <c r="DN39">
        <v>91</v>
      </c>
      <c r="DO39">
        <v>70</v>
      </c>
      <c r="DP39">
        <v>1.0469999999999999</v>
      </c>
      <c r="DQ39">
        <v>1</v>
      </c>
      <c r="DR39">
        <v>1</v>
      </c>
      <c r="DS39">
        <v>1</v>
      </c>
      <c r="DT39">
        <v>1</v>
      </c>
      <c r="DU39">
        <v>1010</v>
      </c>
      <c r="DV39" t="s">
        <v>82</v>
      </c>
      <c r="DW39" t="s">
        <v>82</v>
      </c>
      <c r="DX39">
        <v>1</v>
      </c>
      <c r="EE39">
        <v>14030026</v>
      </c>
      <c r="EF39">
        <v>30</v>
      </c>
      <c r="EG39" t="s">
        <v>22</v>
      </c>
      <c r="EH39">
        <v>0</v>
      </c>
      <c r="EI39" t="s">
        <v>5</v>
      </c>
      <c r="EJ39">
        <v>1</v>
      </c>
      <c r="EK39">
        <v>167</v>
      </c>
      <c r="EL39" t="s">
        <v>77</v>
      </c>
      <c r="EM39" t="s">
        <v>78</v>
      </c>
      <c r="EO39" t="s">
        <v>5</v>
      </c>
      <c r="EQ39">
        <v>0</v>
      </c>
      <c r="ER39">
        <v>574.45000000000005</v>
      </c>
      <c r="ES39">
        <v>574.45000000000005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0</v>
      </c>
      <c r="FQ39">
        <v>0</v>
      </c>
      <c r="FR39">
        <f t="shared" si="25"/>
        <v>0</v>
      </c>
      <c r="FS39">
        <v>0</v>
      </c>
      <c r="FX39">
        <v>0</v>
      </c>
      <c r="FY39">
        <v>0</v>
      </c>
      <c r="GA39">
        <v>574.45000000000005</v>
      </c>
      <c r="GB39">
        <v>574.45000000000005</v>
      </c>
      <c r="GC39">
        <v>0</v>
      </c>
      <c r="GD39">
        <v>0</v>
      </c>
      <c r="GE39">
        <v>0</v>
      </c>
      <c r="GF39">
        <v>574.45000000000005</v>
      </c>
      <c r="GG39">
        <v>574.45000000000005</v>
      </c>
      <c r="GH39">
        <v>0</v>
      </c>
      <c r="GI39">
        <v>0</v>
      </c>
      <c r="GJ39">
        <v>0</v>
      </c>
      <c r="GK39">
        <v>0</v>
      </c>
    </row>
    <row r="40" spans="1:193" ht="25.5">
      <c r="A40">
        <v>18</v>
      </c>
      <c r="B40">
        <v>1</v>
      </c>
      <c r="C40">
        <v>27</v>
      </c>
      <c r="E40" t="s">
        <v>84</v>
      </c>
      <c r="F40" t="s">
        <v>85</v>
      </c>
      <c r="G40" s="61" t="s">
        <v>86</v>
      </c>
      <c r="H40" t="s">
        <v>82</v>
      </c>
      <c r="I40">
        <f>I38*J40</f>
        <v>246</v>
      </c>
      <c r="J40">
        <v>100</v>
      </c>
      <c r="O40">
        <f t="shared" si="2"/>
        <v>186204.93</v>
      </c>
      <c r="P40">
        <f t="shared" si="3"/>
        <v>186204.93</v>
      </c>
      <c r="Q40">
        <f t="shared" si="4"/>
        <v>0</v>
      </c>
      <c r="R40">
        <f t="shared" si="5"/>
        <v>0</v>
      </c>
      <c r="S40">
        <f t="shared" si="6"/>
        <v>0</v>
      </c>
      <c r="T40">
        <f t="shared" si="7"/>
        <v>0</v>
      </c>
      <c r="U40">
        <f t="shared" si="8"/>
        <v>0</v>
      </c>
      <c r="V40">
        <f t="shared" si="9"/>
        <v>0</v>
      </c>
      <c r="W40">
        <f t="shared" si="10"/>
        <v>0</v>
      </c>
      <c r="X40">
        <f t="shared" si="11"/>
        <v>0</v>
      </c>
      <c r="Y40">
        <f t="shared" si="12"/>
        <v>0</v>
      </c>
      <c r="AA40">
        <v>0</v>
      </c>
      <c r="AB40">
        <f t="shared" si="13"/>
        <v>479.07</v>
      </c>
      <c r="AC40">
        <f t="shared" si="28"/>
        <v>479.07</v>
      </c>
      <c r="AD40">
        <f t="shared" si="28"/>
        <v>0</v>
      </c>
      <c r="AE40">
        <f t="shared" si="28"/>
        <v>0</v>
      </c>
      <c r="AF40">
        <f t="shared" si="28"/>
        <v>0</v>
      </c>
      <c r="AG40">
        <f t="shared" si="28"/>
        <v>0</v>
      </c>
      <c r="AH40">
        <f t="shared" si="28"/>
        <v>0</v>
      </c>
      <c r="AI40">
        <f t="shared" si="28"/>
        <v>0</v>
      </c>
      <c r="AJ40">
        <f t="shared" si="28"/>
        <v>0</v>
      </c>
      <c r="AK40">
        <v>479.07</v>
      </c>
      <c r="AL40">
        <v>479.07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1.58</v>
      </c>
      <c r="BD40" t="s">
        <v>5</v>
      </c>
      <c r="BE40" t="s">
        <v>5</v>
      </c>
      <c r="BF40" t="s">
        <v>5</v>
      </c>
      <c r="BG40" t="s">
        <v>5</v>
      </c>
      <c r="BH40">
        <v>3</v>
      </c>
      <c r="BI40">
        <v>1</v>
      </c>
      <c r="BJ40" t="s">
        <v>87</v>
      </c>
      <c r="BM40">
        <v>167</v>
      </c>
      <c r="BN40">
        <v>0</v>
      </c>
      <c r="BO40" t="s">
        <v>85</v>
      </c>
      <c r="BP40">
        <v>1</v>
      </c>
      <c r="BQ40">
        <v>30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5</v>
      </c>
      <c r="BZ40">
        <v>0</v>
      </c>
      <c r="CA40">
        <v>0</v>
      </c>
      <c r="CF40">
        <v>0</v>
      </c>
      <c r="CG40">
        <v>0</v>
      </c>
      <c r="CM40">
        <v>0</v>
      </c>
      <c r="CN40" t="s">
        <v>5</v>
      </c>
      <c r="CO40">
        <v>0</v>
      </c>
      <c r="CP40">
        <f t="shared" si="14"/>
        <v>186204.93</v>
      </c>
      <c r="CQ40">
        <f t="shared" si="15"/>
        <v>756.93060000000003</v>
      </c>
      <c r="CR40">
        <f t="shared" si="16"/>
        <v>0</v>
      </c>
      <c r="CS40">
        <f t="shared" si="17"/>
        <v>0</v>
      </c>
      <c r="CT40">
        <f t="shared" si="18"/>
        <v>0</v>
      </c>
      <c r="CU40">
        <f t="shared" si="19"/>
        <v>0</v>
      </c>
      <c r="CV40">
        <f t="shared" si="20"/>
        <v>0</v>
      </c>
      <c r="CW40">
        <f t="shared" si="21"/>
        <v>0</v>
      </c>
      <c r="CX40">
        <f t="shared" si="22"/>
        <v>0</v>
      </c>
      <c r="CY40">
        <f t="shared" si="23"/>
        <v>0</v>
      </c>
      <c r="CZ40">
        <f t="shared" si="24"/>
        <v>0</v>
      </c>
      <c r="DC40" t="s">
        <v>5</v>
      </c>
      <c r="DD40" t="s">
        <v>5</v>
      </c>
      <c r="DE40" t="s">
        <v>5</v>
      </c>
      <c r="DF40" t="s">
        <v>5</v>
      </c>
      <c r="DG40" t="s">
        <v>5</v>
      </c>
      <c r="DH40" t="s">
        <v>5</v>
      </c>
      <c r="DI40" t="s">
        <v>5</v>
      </c>
      <c r="DJ40" t="s">
        <v>5</v>
      </c>
      <c r="DK40" t="s">
        <v>5</v>
      </c>
      <c r="DL40" t="s">
        <v>5</v>
      </c>
      <c r="DM40" t="s">
        <v>5</v>
      </c>
      <c r="DN40">
        <v>91</v>
      </c>
      <c r="DO40">
        <v>70</v>
      </c>
      <c r="DP40">
        <v>1.0469999999999999</v>
      </c>
      <c r="DQ40">
        <v>1</v>
      </c>
      <c r="DR40">
        <v>1</v>
      </c>
      <c r="DS40">
        <v>1</v>
      </c>
      <c r="DT40">
        <v>1</v>
      </c>
      <c r="DU40">
        <v>1010</v>
      </c>
      <c r="DV40" t="s">
        <v>82</v>
      </c>
      <c r="DW40" t="s">
        <v>82</v>
      </c>
      <c r="DX40">
        <v>1</v>
      </c>
      <c r="EE40">
        <v>14030026</v>
      </c>
      <c r="EF40">
        <v>30</v>
      </c>
      <c r="EG40" t="s">
        <v>22</v>
      </c>
      <c r="EH40">
        <v>0</v>
      </c>
      <c r="EI40" t="s">
        <v>5</v>
      </c>
      <c r="EJ40">
        <v>1</v>
      </c>
      <c r="EK40">
        <v>167</v>
      </c>
      <c r="EL40" t="s">
        <v>77</v>
      </c>
      <c r="EM40" t="s">
        <v>78</v>
      </c>
      <c r="EO40" t="s">
        <v>5</v>
      </c>
      <c r="EQ40">
        <v>0</v>
      </c>
      <c r="ER40">
        <v>479.07</v>
      </c>
      <c r="ES40">
        <v>479.07</v>
      </c>
      <c r="ET40">
        <v>0</v>
      </c>
      <c r="EU40">
        <v>0</v>
      </c>
      <c r="EV40">
        <v>0</v>
      </c>
      <c r="EW40">
        <v>0</v>
      </c>
      <c r="EX40">
        <v>0</v>
      </c>
      <c r="EZ40">
        <v>0</v>
      </c>
      <c r="FQ40">
        <v>0</v>
      </c>
      <c r="FR40">
        <f t="shared" si="25"/>
        <v>0</v>
      </c>
      <c r="FS40">
        <v>0</v>
      </c>
      <c r="FX40">
        <v>0</v>
      </c>
      <c r="FY40">
        <v>0</v>
      </c>
      <c r="GA40">
        <v>479.07</v>
      </c>
      <c r="GB40">
        <v>479.07</v>
      </c>
      <c r="GC40">
        <v>0</v>
      </c>
      <c r="GD40">
        <v>0</v>
      </c>
      <c r="GE40">
        <v>0</v>
      </c>
      <c r="GF40">
        <v>479.07</v>
      </c>
      <c r="GG40">
        <v>479.07</v>
      </c>
      <c r="GH40">
        <v>0</v>
      </c>
      <c r="GI40">
        <v>0</v>
      </c>
      <c r="GJ40">
        <v>0</v>
      </c>
      <c r="GK40">
        <v>0</v>
      </c>
    </row>
    <row r="41" spans="1:193" ht="38.25">
      <c r="A41">
        <v>18</v>
      </c>
      <c r="B41">
        <v>1</v>
      </c>
      <c r="C41">
        <v>25</v>
      </c>
      <c r="E41" t="s">
        <v>88</v>
      </c>
      <c r="F41" t="s">
        <v>89</v>
      </c>
      <c r="G41" s="61" t="s">
        <v>90</v>
      </c>
      <c r="H41" t="s">
        <v>82</v>
      </c>
      <c r="I41">
        <v>492</v>
      </c>
      <c r="J41">
        <v>200</v>
      </c>
      <c r="O41">
        <f t="shared" si="2"/>
        <v>237055.34</v>
      </c>
      <c r="P41">
        <f t="shared" si="3"/>
        <v>237055.34</v>
      </c>
      <c r="Q41">
        <f t="shared" si="4"/>
        <v>0</v>
      </c>
      <c r="R41">
        <f t="shared" si="5"/>
        <v>0</v>
      </c>
      <c r="S41">
        <f t="shared" si="6"/>
        <v>0</v>
      </c>
      <c r="T41">
        <f t="shared" si="7"/>
        <v>0</v>
      </c>
      <c r="U41">
        <f t="shared" si="8"/>
        <v>0</v>
      </c>
      <c r="V41">
        <f t="shared" si="9"/>
        <v>0</v>
      </c>
      <c r="W41">
        <f t="shared" si="10"/>
        <v>0</v>
      </c>
      <c r="X41">
        <f t="shared" si="11"/>
        <v>0</v>
      </c>
      <c r="Y41">
        <f t="shared" si="12"/>
        <v>0</v>
      </c>
      <c r="AA41">
        <v>0</v>
      </c>
      <c r="AB41">
        <f t="shared" si="13"/>
        <v>312.87</v>
      </c>
      <c r="AC41">
        <f t="shared" si="28"/>
        <v>312.87</v>
      </c>
      <c r="AD41">
        <f t="shared" si="28"/>
        <v>0</v>
      </c>
      <c r="AE41">
        <f t="shared" si="28"/>
        <v>0</v>
      </c>
      <c r="AF41">
        <f t="shared" si="28"/>
        <v>0</v>
      </c>
      <c r="AG41">
        <f t="shared" si="28"/>
        <v>0</v>
      </c>
      <c r="AH41">
        <f t="shared" si="28"/>
        <v>0</v>
      </c>
      <c r="AI41">
        <f t="shared" si="28"/>
        <v>0</v>
      </c>
      <c r="AJ41">
        <f t="shared" si="28"/>
        <v>0</v>
      </c>
      <c r="AK41">
        <v>312.87</v>
      </c>
      <c r="AL41">
        <v>312.87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1.0469999999999999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1.54</v>
      </c>
      <c r="BD41" t="s">
        <v>5</v>
      </c>
      <c r="BE41" t="s">
        <v>5</v>
      </c>
      <c r="BF41" t="s">
        <v>5</v>
      </c>
      <c r="BG41" t="s">
        <v>5</v>
      </c>
      <c r="BH41">
        <v>3</v>
      </c>
      <c r="BI41">
        <v>1</v>
      </c>
      <c r="BJ41" t="s">
        <v>91</v>
      </c>
      <c r="BM41">
        <v>167</v>
      </c>
      <c r="BN41">
        <v>0</v>
      </c>
      <c r="BO41" t="s">
        <v>89</v>
      </c>
      <c r="BP41">
        <v>1</v>
      </c>
      <c r="BQ41">
        <v>30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5</v>
      </c>
      <c r="BZ41">
        <v>0</v>
      </c>
      <c r="CA41">
        <v>0</v>
      </c>
      <c r="CF41">
        <v>0</v>
      </c>
      <c r="CG41">
        <v>0</v>
      </c>
      <c r="CM41">
        <v>0</v>
      </c>
      <c r="CN41" t="s">
        <v>5</v>
      </c>
      <c r="CO41">
        <v>0</v>
      </c>
      <c r="CP41">
        <f t="shared" si="14"/>
        <v>237055.34</v>
      </c>
      <c r="CQ41">
        <f t="shared" si="15"/>
        <v>481.81980000000004</v>
      </c>
      <c r="CR41">
        <f t="shared" si="16"/>
        <v>0</v>
      </c>
      <c r="CS41">
        <f t="shared" si="17"/>
        <v>0</v>
      </c>
      <c r="CT41">
        <f t="shared" si="18"/>
        <v>0</v>
      </c>
      <c r="CU41">
        <f t="shared" si="19"/>
        <v>0</v>
      </c>
      <c r="CV41">
        <f t="shared" si="20"/>
        <v>0</v>
      </c>
      <c r="CW41">
        <f t="shared" si="21"/>
        <v>0</v>
      </c>
      <c r="CX41">
        <f t="shared" si="22"/>
        <v>0</v>
      </c>
      <c r="CY41">
        <f t="shared" si="23"/>
        <v>0</v>
      </c>
      <c r="CZ41">
        <f t="shared" si="24"/>
        <v>0</v>
      </c>
      <c r="DC41" t="s">
        <v>5</v>
      </c>
      <c r="DD41" t="s">
        <v>5</v>
      </c>
      <c r="DE41" t="s">
        <v>5</v>
      </c>
      <c r="DF41" t="s">
        <v>5</v>
      </c>
      <c r="DG41" t="s">
        <v>5</v>
      </c>
      <c r="DH41" t="s">
        <v>5</v>
      </c>
      <c r="DI41" t="s">
        <v>5</v>
      </c>
      <c r="DJ41" t="s">
        <v>5</v>
      </c>
      <c r="DK41" t="s">
        <v>5</v>
      </c>
      <c r="DL41" t="s">
        <v>5</v>
      </c>
      <c r="DM41" t="s">
        <v>5</v>
      </c>
      <c r="DN41">
        <v>91</v>
      </c>
      <c r="DO41">
        <v>70</v>
      </c>
      <c r="DP41">
        <v>1.0469999999999999</v>
      </c>
      <c r="DQ41">
        <v>1</v>
      </c>
      <c r="DR41">
        <v>1</v>
      </c>
      <c r="DS41">
        <v>1</v>
      </c>
      <c r="DT41">
        <v>1</v>
      </c>
      <c r="DU41">
        <v>1010</v>
      </c>
      <c r="DV41" t="s">
        <v>82</v>
      </c>
      <c r="DW41" t="s">
        <v>82</v>
      </c>
      <c r="DX41">
        <v>1</v>
      </c>
      <c r="EE41">
        <v>14030026</v>
      </c>
      <c r="EF41">
        <v>30</v>
      </c>
      <c r="EG41" t="s">
        <v>22</v>
      </c>
      <c r="EH41">
        <v>0</v>
      </c>
      <c r="EI41" t="s">
        <v>5</v>
      </c>
      <c r="EJ41">
        <v>1</v>
      </c>
      <c r="EK41">
        <v>167</v>
      </c>
      <c r="EL41" t="s">
        <v>77</v>
      </c>
      <c r="EM41" t="s">
        <v>78</v>
      </c>
      <c r="EO41" t="s">
        <v>5</v>
      </c>
      <c r="EQ41">
        <v>0</v>
      </c>
      <c r="ER41">
        <v>312.87</v>
      </c>
      <c r="ES41">
        <v>312.87</v>
      </c>
      <c r="ET41">
        <v>0</v>
      </c>
      <c r="EU41">
        <v>0</v>
      </c>
      <c r="EV41">
        <v>0</v>
      </c>
      <c r="EW41">
        <v>0</v>
      </c>
      <c r="EX41">
        <v>0</v>
      </c>
      <c r="EZ41">
        <v>0</v>
      </c>
      <c r="FQ41">
        <v>0</v>
      </c>
      <c r="FR41">
        <f t="shared" si="25"/>
        <v>0</v>
      </c>
      <c r="FS41">
        <v>0</v>
      </c>
      <c r="FX41">
        <v>0</v>
      </c>
      <c r="FY41">
        <v>0</v>
      </c>
      <c r="GA41">
        <v>312.87</v>
      </c>
      <c r="GB41">
        <v>312.87</v>
      </c>
      <c r="GC41">
        <v>0</v>
      </c>
      <c r="GD41">
        <v>0</v>
      </c>
      <c r="GE41">
        <v>0</v>
      </c>
      <c r="GF41">
        <v>312.87</v>
      </c>
      <c r="GG41">
        <v>312.87</v>
      </c>
      <c r="GH41">
        <v>0</v>
      </c>
      <c r="GI41">
        <v>0</v>
      </c>
      <c r="GJ41">
        <v>0</v>
      </c>
      <c r="GK41">
        <v>0</v>
      </c>
    </row>
    <row r="42" spans="1:193">
      <c r="A42">
        <v>17</v>
      </c>
      <c r="B42">
        <v>1</v>
      </c>
      <c r="C42">
        <f>ROW(SmtRes!A32)</f>
        <v>32</v>
      </c>
      <c r="D42">
        <f>ROW(EtalonRes!A17)</f>
        <v>17</v>
      </c>
      <c r="E42" t="s">
        <v>92</v>
      </c>
      <c r="F42" t="s">
        <v>93</v>
      </c>
      <c r="G42" t="s">
        <v>94</v>
      </c>
      <c r="H42" t="s">
        <v>82</v>
      </c>
      <c r="I42">
        <v>0</v>
      </c>
      <c r="J42">
        <v>0</v>
      </c>
      <c r="O42">
        <f t="shared" si="2"/>
        <v>0</v>
      </c>
      <c r="P42">
        <f t="shared" si="3"/>
        <v>0</v>
      </c>
      <c r="Q42">
        <f t="shared" si="4"/>
        <v>0</v>
      </c>
      <c r="R42">
        <f t="shared" si="5"/>
        <v>0</v>
      </c>
      <c r="S42">
        <f t="shared" si="6"/>
        <v>0</v>
      </c>
      <c r="T42">
        <f t="shared" si="7"/>
        <v>0</v>
      </c>
      <c r="U42">
        <f t="shared" si="8"/>
        <v>0</v>
      </c>
      <c r="V42">
        <f t="shared" si="9"/>
        <v>0</v>
      </c>
      <c r="W42">
        <f t="shared" si="10"/>
        <v>0</v>
      </c>
      <c r="X42">
        <f t="shared" si="11"/>
        <v>0</v>
      </c>
      <c r="Y42">
        <f t="shared" si="12"/>
        <v>0</v>
      </c>
      <c r="AA42">
        <v>0</v>
      </c>
      <c r="AB42">
        <f t="shared" si="13"/>
        <v>280.79000000000002</v>
      </c>
      <c r="AC42">
        <f>(ES42)</f>
        <v>61.83</v>
      </c>
      <c r="AD42">
        <f>(ET42)</f>
        <v>178.08</v>
      </c>
      <c r="AE42">
        <f>(EU42)</f>
        <v>46.34</v>
      </c>
      <c r="AF42">
        <f>(EV42)</f>
        <v>40.880000000000003</v>
      </c>
      <c r="AG42">
        <f>(AP42)</f>
        <v>0</v>
      </c>
      <c r="AH42">
        <f>(EW42)</f>
        <v>3.58</v>
      </c>
      <c r="AI42">
        <f>(EX42)</f>
        <v>0</v>
      </c>
      <c r="AJ42">
        <f>(AS42)</f>
        <v>0</v>
      </c>
      <c r="AK42">
        <v>280.79000000000002</v>
      </c>
      <c r="AL42">
        <v>61.83</v>
      </c>
      <c r="AM42">
        <v>178.08</v>
      </c>
      <c r="AN42">
        <v>46.34</v>
      </c>
      <c r="AO42">
        <v>40.880000000000003</v>
      </c>
      <c r="AP42">
        <v>0</v>
      </c>
      <c r="AQ42">
        <v>3.58</v>
      </c>
      <c r="AR42">
        <v>0</v>
      </c>
      <c r="AS42">
        <v>0</v>
      </c>
      <c r="AT42">
        <v>78</v>
      </c>
      <c r="AU42">
        <v>42</v>
      </c>
      <c r="AV42">
        <v>1.0469999999999999</v>
      </c>
      <c r="AW42">
        <v>1.002</v>
      </c>
      <c r="AX42">
        <v>1</v>
      </c>
      <c r="AY42">
        <v>1</v>
      </c>
      <c r="AZ42">
        <v>13.09</v>
      </c>
      <c r="BA42">
        <v>13.09</v>
      </c>
      <c r="BB42">
        <v>4.43</v>
      </c>
      <c r="BC42">
        <v>8.77</v>
      </c>
      <c r="BD42" t="s">
        <v>5</v>
      </c>
      <c r="BE42" t="s">
        <v>5</v>
      </c>
      <c r="BF42" t="s">
        <v>5</v>
      </c>
      <c r="BG42" t="s">
        <v>5</v>
      </c>
      <c r="BH42">
        <v>0</v>
      </c>
      <c r="BI42">
        <v>1</v>
      </c>
      <c r="BJ42" t="s">
        <v>95</v>
      </c>
      <c r="BM42">
        <v>650</v>
      </c>
      <c r="BN42">
        <v>0</v>
      </c>
      <c r="BO42" t="s">
        <v>93</v>
      </c>
      <c r="BP42">
        <v>1</v>
      </c>
      <c r="BQ42">
        <v>60</v>
      </c>
      <c r="BR42">
        <v>0</v>
      </c>
      <c r="BS42">
        <v>13.09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5</v>
      </c>
      <c r="BZ42">
        <v>78</v>
      </c>
      <c r="CA42">
        <v>42</v>
      </c>
      <c r="CF42">
        <v>0</v>
      </c>
      <c r="CG42">
        <v>0</v>
      </c>
      <c r="CM42">
        <v>0</v>
      </c>
      <c r="CN42" t="s">
        <v>5</v>
      </c>
      <c r="CO42">
        <v>0</v>
      </c>
      <c r="CP42">
        <f t="shared" si="14"/>
        <v>0</v>
      </c>
      <c r="CQ42">
        <f t="shared" si="15"/>
        <v>543.33359819999998</v>
      </c>
      <c r="CR42">
        <f t="shared" si="16"/>
        <v>825.97243679999997</v>
      </c>
      <c r="CS42">
        <f t="shared" si="17"/>
        <v>635.10035819999996</v>
      </c>
      <c r="CT42">
        <f t="shared" si="18"/>
        <v>560.2698024</v>
      </c>
      <c r="CU42">
        <f t="shared" si="19"/>
        <v>0</v>
      </c>
      <c r="CV42">
        <f t="shared" si="20"/>
        <v>3.7482599999999997</v>
      </c>
      <c r="CW42">
        <f t="shared" si="21"/>
        <v>0</v>
      </c>
      <c r="CX42">
        <f t="shared" si="22"/>
        <v>0</v>
      </c>
      <c r="CY42">
        <f t="shared" si="23"/>
        <v>0</v>
      </c>
      <c r="CZ42">
        <f t="shared" si="24"/>
        <v>0</v>
      </c>
      <c r="DC42" t="s">
        <v>5</v>
      </c>
      <c r="DD42" t="s">
        <v>5</v>
      </c>
      <c r="DE42" t="s">
        <v>5</v>
      </c>
      <c r="DF42" t="s">
        <v>5</v>
      </c>
      <c r="DG42" t="s">
        <v>5</v>
      </c>
      <c r="DH42" t="s">
        <v>5</v>
      </c>
      <c r="DI42" t="s">
        <v>5</v>
      </c>
      <c r="DJ42" t="s">
        <v>5</v>
      </c>
      <c r="DK42" t="s">
        <v>5</v>
      </c>
      <c r="DL42" t="s">
        <v>5</v>
      </c>
      <c r="DM42" t="s">
        <v>5</v>
      </c>
      <c r="DN42">
        <v>91</v>
      </c>
      <c r="DO42">
        <v>70</v>
      </c>
      <c r="DP42">
        <v>1.0469999999999999</v>
      </c>
      <c r="DQ42">
        <v>1.002</v>
      </c>
      <c r="DR42">
        <v>1</v>
      </c>
      <c r="DS42">
        <v>1</v>
      </c>
      <c r="DT42">
        <v>1</v>
      </c>
      <c r="DU42">
        <v>1010</v>
      </c>
      <c r="DV42" t="s">
        <v>82</v>
      </c>
      <c r="DW42" t="s">
        <v>82</v>
      </c>
      <c r="DX42">
        <v>1</v>
      </c>
      <c r="EE42">
        <v>14030509</v>
      </c>
      <c r="EF42">
        <v>60</v>
      </c>
      <c r="EG42" t="s">
        <v>68</v>
      </c>
      <c r="EH42">
        <v>0</v>
      </c>
      <c r="EI42" t="s">
        <v>5</v>
      </c>
      <c r="EJ42">
        <v>1</v>
      </c>
      <c r="EK42">
        <v>650</v>
      </c>
      <c r="EL42" t="s">
        <v>96</v>
      </c>
      <c r="EM42" t="s">
        <v>97</v>
      </c>
      <c r="EO42" t="s">
        <v>5</v>
      </c>
      <c r="EQ42">
        <v>64</v>
      </c>
      <c r="ER42">
        <v>280.79000000000002</v>
      </c>
      <c r="ES42">
        <v>61.83</v>
      </c>
      <c r="ET42">
        <v>178.08</v>
      </c>
      <c r="EU42">
        <v>46.34</v>
      </c>
      <c r="EV42">
        <v>40.880000000000003</v>
      </c>
      <c r="EW42">
        <v>3.58</v>
      </c>
      <c r="EX42">
        <v>0</v>
      </c>
      <c r="EY42">
        <v>0</v>
      </c>
      <c r="EZ42">
        <v>0</v>
      </c>
      <c r="FQ42">
        <v>0</v>
      </c>
      <c r="FR42">
        <f t="shared" si="25"/>
        <v>0</v>
      </c>
      <c r="FS42">
        <v>0</v>
      </c>
      <c r="FX42">
        <v>78</v>
      </c>
      <c r="FY42">
        <v>42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</row>
    <row r="44" spans="1:193">
      <c r="A44" s="2">
        <v>51</v>
      </c>
      <c r="B44" s="2">
        <f>B20</f>
        <v>1</v>
      </c>
      <c r="C44" s="2">
        <f>A20</f>
        <v>3</v>
      </c>
      <c r="D44" s="2">
        <f>ROW(A20)</f>
        <v>20</v>
      </c>
      <c r="E44" s="2"/>
      <c r="F44" s="2" t="str">
        <f>IF(F20&lt;&gt;"",F20,"")</f>
        <v>Новая локальная смета</v>
      </c>
      <c r="G44" s="2" t="str">
        <f>IF(G20&lt;&gt;"",G20,"")</f>
        <v>Новая локальная смета</v>
      </c>
      <c r="H44" s="2"/>
      <c r="I44" s="2"/>
      <c r="J44" s="2"/>
      <c r="K44" s="2"/>
      <c r="L44" s="2"/>
      <c r="M44" s="2"/>
      <c r="N44" s="2"/>
      <c r="O44" s="2">
        <f t="shared" ref="O44:Y44" si="29">ROUND(AB44,2)</f>
        <v>4021607.13</v>
      </c>
      <c r="P44" s="2">
        <f t="shared" si="29"/>
        <v>1584427.49</v>
      </c>
      <c r="Q44" s="2">
        <f t="shared" si="29"/>
        <v>1712613.5</v>
      </c>
      <c r="R44" s="2">
        <f t="shared" si="29"/>
        <v>469620.76</v>
      </c>
      <c r="S44" s="2">
        <f t="shared" si="29"/>
        <v>724566.14</v>
      </c>
      <c r="T44" s="2">
        <f t="shared" si="29"/>
        <v>0</v>
      </c>
      <c r="U44" s="2">
        <f t="shared" si="29"/>
        <v>4817.01</v>
      </c>
      <c r="V44" s="2">
        <f t="shared" si="29"/>
        <v>0</v>
      </c>
      <c r="W44" s="2">
        <f t="shared" si="29"/>
        <v>0</v>
      </c>
      <c r="X44" s="2">
        <f t="shared" si="29"/>
        <v>822324.77</v>
      </c>
      <c r="Y44" s="2">
        <f t="shared" si="29"/>
        <v>304317.78000000003</v>
      </c>
      <c r="Z44" s="2"/>
      <c r="AA44" s="2"/>
      <c r="AB44" s="2">
        <f>ROUND(SUMIF(AA24:AA42,"=0",O24:O42),2)</f>
        <v>4021607.13</v>
      </c>
      <c r="AC44" s="2">
        <f>ROUND(SUMIF(AA24:AA42,"=0",P24:P42),2)</f>
        <v>1584427.49</v>
      </c>
      <c r="AD44" s="2">
        <f>ROUND(SUMIF(AA24:AA42,"=0",Q24:Q42),2)</f>
        <v>1712613.5</v>
      </c>
      <c r="AE44" s="2">
        <f>ROUND(SUMIF(AA24:AA42,"=0",R24:R42),2)</f>
        <v>469620.76</v>
      </c>
      <c r="AF44" s="2">
        <f>ROUND(SUMIF(AA24:AA42,"=0",S24:S42),2)</f>
        <v>724566.14</v>
      </c>
      <c r="AG44" s="2">
        <f>ROUND(SUMIF(AA24:AA42,"=0",T24:T42),2)</f>
        <v>0</v>
      </c>
      <c r="AH44" s="2">
        <f>ROUND(SUMIF(AA24:AA42,"=0",U24:U42),2)</f>
        <v>4817.01</v>
      </c>
      <c r="AI44" s="2">
        <f>ROUND(SUMIF(AA24:AA42,"=0",V24:V42),2)</f>
        <v>0</v>
      </c>
      <c r="AJ44" s="2">
        <f>ROUND(SUMIF(AA24:AA42,"=0",W24:W42),2)</f>
        <v>0</v>
      </c>
      <c r="AK44" s="2">
        <f>ROUND(SUMIF(AA24:AA42,"=0",X24:X42),2)</f>
        <v>822324.77</v>
      </c>
      <c r="AL44" s="2">
        <f>ROUND(SUMIF(AA24:AA42,"=0",Y24:Y42),2)</f>
        <v>304317.78000000003</v>
      </c>
      <c r="AM44" s="2"/>
      <c r="AN44" s="2">
        <f>ROUND(AO44,2)</f>
        <v>0</v>
      </c>
      <c r="AO44" s="2">
        <f>ROUND(SUMIF(AA24:AA42,"=0",FQ24:FQ42),2)</f>
        <v>0</v>
      </c>
      <c r="AP44" s="2">
        <f>ROUND(AQ44,2)</f>
        <v>0</v>
      </c>
      <c r="AQ44" s="2">
        <f>ROUND(SUM(FR24:FR42),2)</f>
        <v>0</v>
      </c>
    </row>
    <row r="46" spans="1:193">
      <c r="A46" s="3">
        <v>50</v>
      </c>
      <c r="B46" s="3">
        <v>0</v>
      </c>
      <c r="C46" s="3">
        <v>0</v>
      </c>
      <c r="D46" s="3">
        <v>1</v>
      </c>
      <c r="E46" s="3">
        <v>201</v>
      </c>
      <c r="F46" s="3">
        <f>Source!O44</f>
        <v>4021607.13</v>
      </c>
      <c r="G46" s="3" t="s">
        <v>98</v>
      </c>
      <c r="H46" s="3" t="s">
        <v>99</v>
      </c>
      <c r="I46" s="3"/>
      <c r="J46" s="3"/>
      <c r="K46" s="3">
        <v>201</v>
      </c>
      <c r="L46" s="3">
        <v>1</v>
      </c>
      <c r="M46" s="3">
        <v>3</v>
      </c>
      <c r="N46" s="3" t="s">
        <v>5</v>
      </c>
    </row>
    <row r="47" spans="1:193">
      <c r="A47" s="3">
        <v>50</v>
      </c>
      <c r="B47" s="3">
        <v>0</v>
      </c>
      <c r="C47" s="3">
        <v>0</v>
      </c>
      <c r="D47" s="3">
        <v>1</v>
      </c>
      <c r="E47" s="3">
        <v>202</v>
      </c>
      <c r="F47" s="3">
        <f>Source!P44</f>
        <v>1584427.49</v>
      </c>
      <c r="G47" s="3" t="s">
        <v>100</v>
      </c>
      <c r="H47" s="3" t="s">
        <v>101</v>
      </c>
      <c r="I47" s="3"/>
      <c r="J47" s="3"/>
      <c r="K47" s="3">
        <v>202</v>
      </c>
      <c r="L47" s="3">
        <v>2</v>
      </c>
      <c r="M47" s="3">
        <v>3</v>
      </c>
      <c r="N47" s="3" t="s">
        <v>5</v>
      </c>
    </row>
    <row r="48" spans="1:193">
      <c r="A48" s="3">
        <v>50</v>
      </c>
      <c r="B48" s="3">
        <v>0</v>
      </c>
      <c r="C48" s="3">
        <v>0</v>
      </c>
      <c r="D48" s="3">
        <v>1</v>
      </c>
      <c r="E48" s="3">
        <v>222</v>
      </c>
      <c r="F48" s="3">
        <f>Source!AN44</f>
        <v>0</v>
      </c>
      <c r="G48" s="3" t="s">
        <v>102</v>
      </c>
      <c r="H48" s="3" t="s">
        <v>103</v>
      </c>
      <c r="I48" s="3"/>
      <c r="J48" s="3"/>
      <c r="K48" s="3">
        <v>222</v>
      </c>
      <c r="L48" s="3">
        <v>3</v>
      </c>
      <c r="M48" s="3">
        <v>3</v>
      </c>
      <c r="N48" s="3" t="s">
        <v>5</v>
      </c>
    </row>
    <row r="49" spans="1:43">
      <c r="A49" s="3">
        <v>50</v>
      </c>
      <c r="B49" s="3">
        <v>0</v>
      </c>
      <c r="C49" s="3">
        <v>0</v>
      </c>
      <c r="D49" s="3">
        <v>1</v>
      </c>
      <c r="E49" s="3">
        <v>216</v>
      </c>
      <c r="F49" s="3">
        <f>Source!AP44</f>
        <v>0</v>
      </c>
      <c r="G49" s="3" t="s">
        <v>104</v>
      </c>
      <c r="H49" s="3" t="s">
        <v>105</v>
      </c>
      <c r="I49" s="3"/>
      <c r="J49" s="3"/>
      <c r="K49" s="3">
        <v>216</v>
      </c>
      <c r="L49" s="3">
        <v>4</v>
      </c>
      <c r="M49" s="3">
        <v>3</v>
      </c>
      <c r="N49" s="3" t="s">
        <v>5</v>
      </c>
    </row>
    <row r="50" spans="1:43">
      <c r="A50" s="3">
        <v>50</v>
      </c>
      <c r="B50" s="3">
        <v>0</v>
      </c>
      <c r="C50" s="3">
        <v>0</v>
      </c>
      <c r="D50" s="3">
        <v>1</v>
      </c>
      <c r="E50" s="3">
        <v>203</v>
      </c>
      <c r="F50" s="3">
        <f>Source!Q44</f>
        <v>1712613.5</v>
      </c>
      <c r="G50" s="3" t="s">
        <v>106</v>
      </c>
      <c r="H50" s="3" t="s">
        <v>107</v>
      </c>
      <c r="I50" s="3"/>
      <c r="J50" s="3"/>
      <c r="K50" s="3">
        <v>203</v>
      </c>
      <c r="L50" s="3">
        <v>5</v>
      </c>
      <c r="M50" s="3">
        <v>3</v>
      </c>
      <c r="N50" s="3" t="s">
        <v>5</v>
      </c>
    </row>
    <row r="51" spans="1:43">
      <c r="A51" s="3">
        <v>50</v>
      </c>
      <c r="B51" s="3">
        <v>0</v>
      </c>
      <c r="C51" s="3">
        <v>0</v>
      </c>
      <c r="D51" s="3">
        <v>1</v>
      </c>
      <c r="E51" s="3">
        <v>204</v>
      </c>
      <c r="F51" s="3">
        <f>Source!R44</f>
        <v>469620.76</v>
      </c>
      <c r="G51" s="3" t="s">
        <v>108</v>
      </c>
      <c r="H51" s="3" t="s">
        <v>109</v>
      </c>
      <c r="I51" s="3"/>
      <c r="J51" s="3"/>
      <c r="K51" s="3">
        <v>204</v>
      </c>
      <c r="L51" s="3">
        <v>6</v>
      </c>
      <c r="M51" s="3">
        <v>3</v>
      </c>
      <c r="N51" s="3" t="s">
        <v>5</v>
      </c>
    </row>
    <row r="52" spans="1:43">
      <c r="A52" s="3">
        <v>50</v>
      </c>
      <c r="B52" s="3">
        <v>0</v>
      </c>
      <c r="C52" s="3">
        <v>0</v>
      </c>
      <c r="D52" s="3">
        <v>1</v>
      </c>
      <c r="E52" s="3">
        <v>205</v>
      </c>
      <c r="F52" s="3">
        <f>Source!S44</f>
        <v>724566.14</v>
      </c>
      <c r="G52" s="3" t="s">
        <v>110</v>
      </c>
      <c r="H52" s="3" t="s">
        <v>111</v>
      </c>
      <c r="I52" s="3"/>
      <c r="J52" s="3"/>
      <c r="K52" s="3">
        <v>205</v>
      </c>
      <c r="L52" s="3">
        <v>7</v>
      </c>
      <c r="M52" s="3">
        <v>3</v>
      </c>
      <c r="N52" s="3" t="s">
        <v>5</v>
      </c>
    </row>
    <row r="53" spans="1:43">
      <c r="A53" s="3">
        <v>50</v>
      </c>
      <c r="B53" s="3">
        <v>0</v>
      </c>
      <c r="C53" s="3">
        <v>0</v>
      </c>
      <c r="D53" s="3">
        <v>1</v>
      </c>
      <c r="E53" s="3">
        <v>206</v>
      </c>
      <c r="F53" s="3">
        <f>Source!T44</f>
        <v>0</v>
      </c>
      <c r="G53" s="3" t="s">
        <v>112</v>
      </c>
      <c r="H53" s="3" t="s">
        <v>113</v>
      </c>
      <c r="I53" s="3"/>
      <c r="J53" s="3"/>
      <c r="K53" s="3">
        <v>206</v>
      </c>
      <c r="L53" s="3">
        <v>8</v>
      </c>
      <c r="M53" s="3">
        <v>3</v>
      </c>
      <c r="N53" s="3" t="s">
        <v>5</v>
      </c>
    </row>
    <row r="54" spans="1:43">
      <c r="A54" s="3">
        <v>50</v>
      </c>
      <c r="B54" s="3">
        <v>0</v>
      </c>
      <c r="C54" s="3">
        <v>0</v>
      </c>
      <c r="D54" s="3">
        <v>1</v>
      </c>
      <c r="E54" s="3">
        <v>207</v>
      </c>
      <c r="F54" s="3">
        <f>Source!U44</f>
        <v>4817.01</v>
      </c>
      <c r="G54" s="3" t="s">
        <v>114</v>
      </c>
      <c r="H54" s="3" t="s">
        <v>115</v>
      </c>
      <c r="I54" s="3"/>
      <c r="J54" s="3"/>
      <c r="K54" s="3">
        <v>207</v>
      </c>
      <c r="L54" s="3">
        <v>9</v>
      </c>
      <c r="M54" s="3">
        <v>3</v>
      </c>
      <c r="N54" s="3" t="s">
        <v>5</v>
      </c>
    </row>
    <row r="55" spans="1:43">
      <c r="A55" s="3">
        <v>50</v>
      </c>
      <c r="B55" s="3">
        <v>0</v>
      </c>
      <c r="C55" s="3">
        <v>0</v>
      </c>
      <c r="D55" s="3">
        <v>1</v>
      </c>
      <c r="E55" s="3">
        <v>208</v>
      </c>
      <c r="F55" s="3">
        <f>Source!V44</f>
        <v>0</v>
      </c>
      <c r="G55" s="3" t="s">
        <v>116</v>
      </c>
      <c r="H55" s="3" t="s">
        <v>117</v>
      </c>
      <c r="I55" s="3"/>
      <c r="J55" s="3"/>
      <c r="K55" s="3">
        <v>208</v>
      </c>
      <c r="L55" s="3">
        <v>10</v>
      </c>
      <c r="M55" s="3">
        <v>3</v>
      </c>
      <c r="N55" s="3" t="s">
        <v>5</v>
      </c>
    </row>
    <row r="56" spans="1:43">
      <c r="A56" s="3">
        <v>50</v>
      </c>
      <c r="B56" s="3">
        <v>0</v>
      </c>
      <c r="C56" s="3">
        <v>0</v>
      </c>
      <c r="D56" s="3">
        <v>1</v>
      </c>
      <c r="E56" s="3">
        <v>209</v>
      </c>
      <c r="F56" s="3">
        <f>Source!W44</f>
        <v>0</v>
      </c>
      <c r="G56" s="3" t="s">
        <v>118</v>
      </c>
      <c r="H56" s="3" t="s">
        <v>119</v>
      </c>
      <c r="I56" s="3"/>
      <c r="J56" s="3"/>
      <c r="K56" s="3">
        <v>209</v>
      </c>
      <c r="L56" s="3">
        <v>11</v>
      </c>
      <c r="M56" s="3">
        <v>3</v>
      </c>
      <c r="N56" s="3" t="s">
        <v>5</v>
      </c>
    </row>
    <row r="57" spans="1:43">
      <c r="A57" s="3">
        <v>50</v>
      </c>
      <c r="B57" s="3">
        <v>0</v>
      </c>
      <c r="C57" s="3">
        <v>0</v>
      </c>
      <c r="D57" s="3">
        <v>1</v>
      </c>
      <c r="E57" s="3">
        <v>210</v>
      </c>
      <c r="F57" s="3">
        <f>Source!X44</f>
        <v>822324.77</v>
      </c>
      <c r="G57" s="3" t="s">
        <v>120</v>
      </c>
      <c r="H57" s="3" t="s">
        <v>121</v>
      </c>
      <c r="I57" s="3"/>
      <c r="J57" s="3"/>
      <c r="K57" s="3">
        <v>210</v>
      </c>
      <c r="L57" s="3">
        <v>12</v>
      </c>
      <c r="M57" s="3">
        <v>3</v>
      </c>
      <c r="N57" s="3" t="s">
        <v>5</v>
      </c>
    </row>
    <row r="58" spans="1:43">
      <c r="A58" s="3">
        <v>50</v>
      </c>
      <c r="B58" s="3">
        <v>0</v>
      </c>
      <c r="C58" s="3">
        <v>0</v>
      </c>
      <c r="D58" s="3">
        <v>1</v>
      </c>
      <c r="E58" s="3">
        <v>211</v>
      </c>
      <c r="F58" s="3">
        <f>Source!Y44</f>
        <v>304317.78000000003</v>
      </c>
      <c r="G58" s="3" t="s">
        <v>122</v>
      </c>
      <c r="H58" s="3" t="s">
        <v>123</v>
      </c>
      <c r="I58" s="3"/>
      <c r="J58" s="3"/>
      <c r="K58" s="3">
        <v>211</v>
      </c>
      <c r="L58" s="3">
        <v>13</v>
      </c>
      <c r="M58" s="3">
        <v>3</v>
      </c>
      <c r="N58" s="3" t="s">
        <v>5</v>
      </c>
    </row>
    <row r="60" spans="1:43">
      <c r="A60" s="2">
        <v>51</v>
      </c>
      <c r="B60" s="2">
        <f>B12</f>
        <v>1</v>
      </c>
      <c r="C60" s="2">
        <f>A12</f>
        <v>1</v>
      </c>
      <c r="D60" s="2">
        <f>ROW(A12)</f>
        <v>12</v>
      </c>
      <c r="E60" s="2"/>
      <c r="F60" s="2" t="str">
        <f>IF(F12&lt;&gt;"",F12,"")</f>
        <v>Новый объект</v>
      </c>
      <c r="G60" s="2" t="str">
        <f>IF(G12&lt;&gt;"",G12,"")</f>
        <v>выполнение работ по разметке площадок для расстановки пожарной (специальной) техники 132 шт.</v>
      </c>
      <c r="H60" s="2"/>
      <c r="I60" s="2"/>
      <c r="J60" s="2"/>
      <c r="K60" s="2"/>
      <c r="L60" s="2"/>
      <c r="M60" s="2"/>
      <c r="N60" s="2"/>
      <c r="O60" s="2">
        <f t="shared" ref="O60:Y60" si="30">ROUND(O44,2)</f>
        <v>4021607.13</v>
      </c>
      <c r="P60" s="2">
        <f t="shared" si="30"/>
        <v>1584427.49</v>
      </c>
      <c r="Q60" s="2">
        <f t="shared" si="30"/>
        <v>1712613.5</v>
      </c>
      <c r="R60" s="2">
        <f t="shared" si="30"/>
        <v>469620.76</v>
      </c>
      <c r="S60" s="2">
        <f t="shared" si="30"/>
        <v>724566.14</v>
      </c>
      <c r="T60" s="2">
        <f t="shared" si="30"/>
        <v>0</v>
      </c>
      <c r="U60" s="2">
        <f t="shared" si="30"/>
        <v>4817.01</v>
      </c>
      <c r="V60" s="2">
        <f t="shared" si="30"/>
        <v>0</v>
      </c>
      <c r="W60" s="2">
        <f t="shared" si="30"/>
        <v>0</v>
      </c>
      <c r="X60" s="2">
        <f t="shared" si="30"/>
        <v>822324.77</v>
      </c>
      <c r="Y60" s="2">
        <f t="shared" si="30"/>
        <v>304317.78000000003</v>
      </c>
      <c r="Z60" s="2"/>
      <c r="AA60" s="2"/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/>
      <c r="AN60" s="2">
        <f>ROUND(AN44,2)</f>
        <v>0</v>
      </c>
      <c r="AO60" s="2">
        <v>0</v>
      </c>
      <c r="AP60" s="2">
        <f>ROUND(AP44,2)</f>
        <v>0</v>
      </c>
      <c r="AQ60" s="2">
        <v>0</v>
      </c>
    </row>
    <row r="62" spans="1:43">
      <c r="A62" s="3">
        <v>50</v>
      </c>
      <c r="B62" s="3">
        <v>0</v>
      </c>
      <c r="C62" s="3">
        <v>0</v>
      </c>
      <c r="D62" s="3">
        <v>1</v>
      </c>
      <c r="E62" s="3">
        <v>201</v>
      </c>
      <c r="F62" s="3">
        <f>Source!O60</f>
        <v>4021607.13</v>
      </c>
      <c r="G62" s="3" t="s">
        <v>98</v>
      </c>
      <c r="H62" s="3" t="s">
        <v>99</v>
      </c>
      <c r="I62" s="3"/>
      <c r="J62" s="3"/>
      <c r="K62" s="3">
        <v>201</v>
      </c>
      <c r="L62" s="3">
        <v>1</v>
      </c>
      <c r="M62" s="3">
        <v>3</v>
      </c>
      <c r="N62" s="3" t="s">
        <v>5</v>
      </c>
    </row>
    <row r="63" spans="1:43">
      <c r="A63" s="3">
        <v>50</v>
      </c>
      <c r="B63" s="3">
        <v>0</v>
      </c>
      <c r="C63" s="3">
        <v>0</v>
      </c>
      <c r="D63" s="3">
        <v>1</v>
      </c>
      <c r="E63" s="3">
        <v>202</v>
      </c>
      <c r="F63" s="3">
        <f>Source!P60</f>
        <v>1584427.49</v>
      </c>
      <c r="G63" s="3" t="s">
        <v>100</v>
      </c>
      <c r="H63" s="3" t="s">
        <v>101</v>
      </c>
      <c r="I63" s="3"/>
      <c r="J63" s="3"/>
      <c r="K63" s="3">
        <v>202</v>
      </c>
      <c r="L63" s="3">
        <v>2</v>
      </c>
      <c r="M63" s="3">
        <v>3</v>
      </c>
      <c r="N63" s="3" t="s">
        <v>5</v>
      </c>
    </row>
    <row r="64" spans="1:43">
      <c r="A64" s="3">
        <v>50</v>
      </c>
      <c r="B64" s="3">
        <v>0</v>
      </c>
      <c r="C64" s="3">
        <v>0</v>
      </c>
      <c r="D64" s="3">
        <v>1</v>
      </c>
      <c r="E64" s="3">
        <v>222</v>
      </c>
      <c r="F64" s="3">
        <f>Source!AN60</f>
        <v>0</v>
      </c>
      <c r="G64" s="3" t="s">
        <v>102</v>
      </c>
      <c r="H64" s="3" t="s">
        <v>103</v>
      </c>
      <c r="I64" s="3"/>
      <c r="J64" s="3"/>
      <c r="K64" s="3">
        <v>222</v>
      </c>
      <c r="L64" s="3">
        <v>3</v>
      </c>
      <c r="M64" s="3">
        <v>3</v>
      </c>
      <c r="N64" s="3" t="s">
        <v>5</v>
      </c>
    </row>
    <row r="65" spans="1:14">
      <c r="A65" s="3">
        <v>50</v>
      </c>
      <c r="B65" s="3">
        <v>0</v>
      </c>
      <c r="C65" s="3">
        <v>0</v>
      </c>
      <c r="D65" s="3">
        <v>1</v>
      </c>
      <c r="E65" s="3">
        <v>216</v>
      </c>
      <c r="F65" s="3">
        <f>Source!AP60</f>
        <v>0</v>
      </c>
      <c r="G65" s="3" t="s">
        <v>104</v>
      </c>
      <c r="H65" s="3" t="s">
        <v>105</v>
      </c>
      <c r="I65" s="3"/>
      <c r="J65" s="3"/>
      <c r="K65" s="3">
        <v>216</v>
      </c>
      <c r="L65" s="3">
        <v>4</v>
      </c>
      <c r="M65" s="3">
        <v>3</v>
      </c>
      <c r="N65" s="3" t="s">
        <v>5</v>
      </c>
    </row>
    <row r="66" spans="1:14">
      <c r="A66" s="3">
        <v>50</v>
      </c>
      <c r="B66" s="3">
        <v>0</v>
      </c>
      <c r="C66" s="3">
        <v>0</v>
      </c>
      <c r="D66" s="3">
        <v>1</v>
      </c>
      <c r="E66" s="3">
        <v>203</v>
      </c>
      <c r="F66" s="3">
        <f>Source!Q60</f>
        <v>1712613.5</v>
      </c>
      <c r="G66" s="3" t="s">
        <v>106</v>
      </c>
      <c r="H66" s="3" t="s">
        <v>107</v>
      </c>
      <c r="I66" s="3"/>
      <c r="J66" s="3"/>
      <c r="K66" s="3">
        <v>203</v>
      </c>
      <c r="L66" s="3">
        <v>5</v>
      </c>
      <c r="M66" s="3">
        <v>3</v>
      </c>
      <c r="N66" s="3" t="s">
        <v>5</v>
      </c>
    </row>
    <row r="67" spans="1:14">
      <c r="A67" s="3">
        <v>50</v>
      </c>
      <c r="B67" s="3">
        <v>0</v>
      </c>
      <c r="C67" s="3">
        <v>0</v>
      </c>
      <c r="D67" s="3">
        <v>1</v>
      </c>
      <c r="E67" s="3">
        <v>204</v>
      </c>
      <c r="F67" s="3">
        <f>Source!R60</f>
        <v>469620.76</v>
      </c>
      <c r="G67" s="3" t="s">
        <v>108</v>
      </c>
      <c r="H67" s="3" t="s">
        <v>109</v>
      </c>
      <c r="I67" s="3"/>
      <c r="J67" s="3"/>
      <c r="K67" s="3">
        <v>204</v>
      </c>
      <c r="L67" s="3">
        <v>6</v>
      </c>
      <c r="M67" s="3">
        <v>3</v>
      </c>
      <c r="N67" s="3" t="s">
        <v>5</v>
      </c>
    </row>
    <row r="68" spans="1:14">
      <c r="A68" s="3">
        <v>50</v>
      </c>
      <c r="B68" s="3">
        <v>0</v>
      </c>
      <c r="C68" s="3">
        <v>0</v>
      </c>
      <c r="D68" s="3">
        <v>1</v>
      </c>
      <c r="E68" s="3">
        <v>205</v>
      </c>
      <c r="F68" s="3">
        <f>Source!S60</f>
        <v>724566.14</v>
      </c>
      <c r="G68" s="3" t="s">
        <v>110</v>
      </c>
      <c r="H68" s="3" t="s">
        <v>111</v>
      </c>
      <c r="I68" s="3"/>
      <c r="J68" s="3"/>
      <c r="K68" s="3">
        <v>205</v>
      </c>
      <c r="L68" s="3">
        <v>7</v>
      </c>
      <c r="M68" s="3">
        <v>3</v>
      </c>
      <c r="N68" s="3" t="s">
        <v>5</v>
      </c>
    </row>
    <row r="69" spans="1:14">
      <c r="A69" s="3">
        <v>50</v>
      </c>
      <c r="B69" s="3">
        <v>0</v>
      </c>
      <c r="C69" s="3">
        <v>0</v>
      </c>
      <c r="D69" s="3">
        <v>1</v>
      </c>
      <c r="E69" s="3">
        <v>206</v>
      </c>
      <c r="F69" s="3">
        <f>Source!T60</f>
        <v>0</v>
      </c>
      <c r="G69" s="3" t="s">
        <v>112</v>
      </c>
      <c r="H69" s="3" t="s">
        <v>113</v>
      </c>
      <c r="I69" s="3"/>
      <c r="J69" s="3"/>
      <c r="K69" s="3">
        <v>206</v>
      </c>
      <c r="L69" s="3">
        <v>8</v>
      </c>
      <c r="M69" s="3">
        <v>3</v>
      </c>
      <c r="N69" s="3" t="s">
        <v>5</v>
      </c>
    </row>
    <row r="70" spans="1:14">
      <c r="A70" s="3">
        <v>50</v>
      </c>
      <c r="B70" s="3">
        <v>0</v>
      </c>
      <c r="C70" s="3">
        <v>0</v>
      </c>
      <c r="D70" s="3">
        <v>1</v>
      </c>
      <c r="E70" s="3">
        <v>207</v>
      </c>
      <c r="F70" s="3">
        <f>Source!U60</f>
        <v>4817.01</v>
      </c>
      <c r="G70" s="3" t="s">
        <v>114</v>
      </c>
      <c r="H70" s="3" t="s">
        <v>115</v>
      </c>
      <c r="I70" s="3"/>
      <c r="J70" s="3"/>
      <c r="K70" s="3">
        <v>207</v>
      </c>
      <c r="L70" s="3">
        <v>9</v>
      </c>
      <c r="M70" s="3">
        <v>3</v>
      </c>
      <c r="N70" s="3" t="s">
        <v>5</v>
      </c>
    </row>
    <row r="71" spans="1:14">
      <c r="A71" s="3">
        <v>50</v>
      </c>
      <c r="B71" s="3">
        <v>0</v>
      </c>
      <c r="C71" s="3">
        <v>0</v>
      </c>
      <c r="D71" s="3">
        <v>1</v>
      </c>
      <c r="E71" s="3">
        <v>208</v>
      </c>
      <c r="F71" s="3">
        <f>Source!V60</f>
        <v>0</v>
      </c>
      <c r="G71" s="3" t="s">
        <v>116</v>
      </c>
      <c r="H71" s="3" t="s">
        <v>117</v>
      </c>
      <c r="I71" s="3"/>
      <c r="J71" s="3"/>
      <c r="K71" s="3">
        <v>208</v>
      </c>
      <c r="L71" s="3">
        <v>10</v>
      </c>
      <c r="M71" s="3">
        <v>3</v>
      </c>
      <c r="N71" s="3" t="s">
        <v>5</v>
      </c>
    </row>
    <row r="72" spans="1:14">
      <c r="A72" s="3">
        <v>50</v>
      </c>
      <c r="B72" s="3">
        <v>0</v>
      </c>
      <c r="C72" s="3">
        <v>0</v>
      </c>
      <c r="D72" s="3">
        <v>1</v>
      </c>
      <c r="E72" s="3">
        <v>209</v>
      </c>
      <c r="F72" s="3">
        <f>Source!W60</f>
        <v>0</v>
      </c>
      <c r="G72" s="3" t="s">
        <v>118</v>
      </c>
      <c r="H72" s="3" t="s">
        <v>119</v>
      </c>
      <c r="I72" s="3"/>
      <c r="J72" s="3"/>
      <c r="K72" s="3">
        <v>209</v>
      </c>
      <c r="L72" s="3">
        <v>11</v>
      </c>
      <c r="M72" s="3">
        <v>3</v>
      </c>
      <c r="N72" s="3" t="s">
        <v>5</v>
      </c>
    </row>
    <row r="73" spans="1:14">
      <c r="A73" s="3">
        <v>50</v>
      </c>
      <c r="B73" s="3">
        <v>0</v>
      </c>
      <c r="C73" s="3">
        <v>0</v>
      </c>
      <c r="D73" s="3">
        <v>1</v>
      </c>
      <c r="E73" s="3">
        <v>210</v>
      </c>
      <c r="F73" s="3">
        <f>Source!X60</f>
        <v>822324.77</v>
      </c>
      <c r="G73" s="3" t="s">
        <v>120</v>
      </c>
      <c r="H73" s="3" t="s">
        <v>121</v>
      </c>
      <c r="I73" s="3"/>
      <c r="J73" s="3"/>
      <c r="K73" s="3">
        <v>210</v>
      </c>
      <c r="L73" s="3">
        <v>12</v>
      </c>
      <c r="M73" s="3">
        <v>3</v>
      </c>
      <c r="N73" s="3" t="s">
        <v>5</v>
      </c>
    </row>
    <row r="74" spans="1:14">
      <c r="A74" s="3">
        <v>50</v>
      </c>
      <c r="B74" s="3">
        <v>0</v>
      </c>
      <c r="C74" s="3">
        <v>0</v>
      </c>
      <c r="D74" s="3">
        <v>1</v>
      </c>
      <c r="E74" s="3">
        <v>211</v>
      </c>
      <c r="F74" s="3">
        <f>Source!Y60</f>
        <v>304317.78000000003</v>
      </c>
      <c r="G74" s="3" t="s">
        <v>122</v>
      </c>
      <c r="H74" s="3" t="s">
        <v>123</v>
      </c>
      <c r="I74" s="3"/>
      <c r="J74" s="3"/>
      <c r="K74" s="3">
        <v>211</v>
      </c>
      <c r="L74" s="3">
        <v>13</v>
      </c>
      <c r="M74" s="3">
        <v>3</v>
      </c>
      <c r="N74" s="3" t="s">
        <v>5</v>
      </c>
    </row>
    <row r="75" spans="1:14">
      <c r="A75" s="3">
        <v>50</v>
      </c>
      <c r="B75" s="3">
        <v>1</v>
      </c>
      <c r="C75" s="3">
        <v>0</v>
      </c>
      <c r="D75" s="3">
        <v>2</v>
      </c>
      <c r="E75" s="3">
        <v>0</v>
      </c>
      <c r="F75" s="3">
        <f>ROUND(Source!F62+Source!F73+Source!F74+Source!F67*1.67,2)</f>
        <v>5932516.3499999996</v>
      </c>
      <c r="G75" s="3" t="s">
        <v>124</v>
      </c>
      <c r="H75" s="3" t="s">
        <v>125</v>
      </c>
      <c r="I75" s="3"/>
      <c r="J75" s="3"/>
      <c r="K75" s="3">
        <v>212</v>
      </c>
      <c r="L75" s="3">
        <v>14</v>
      </c>
      <c r="M75" s="3">
        <v>0</v>
      </c>
      <c r="N75" s="3" t="s">
        <v>5</v>
      </c>
    </row>
    <row r="76" spans="1:14">
      <c r="A76" s="3">
        <v>50</v>
      </c>
      <c r="B76" s="3">
        <v>1</v>
      </c>
      <c r="C76" s="3">
        <v>0</v>
      </c>
      <c r="D76" s="3">
        <v>2</v>
      </c>
      <c r="E76" s="3">
        <v>0</v>
      </c>
      <c r="F76" s="3">
        <f>ROUND(Source!F75*0.18,2)</f>
        <v>1067852.94</v>
      </c>
      <c r="G76" s="3" t="s">
        <v>126</v>
      </c>
      <c r="H76" s="3" t="s">
        <v>127</v>
      </c>
      <c r="I76" s="3"/>
      <c r="J76" s="3"/>
      <c r="K76" s="3">
        <v>212</v>
      </c>
      <c r="L76" s="3">
        <v>15</v>
      </c>
      <c r="M76" s="3">
        <v>0</v>
      </c>
      <c r="N76" s="3" t="s">
        <v>5</v>
      </c>
    </row>
    <row r="77" spans="1:14">
      <c r="A77" s="3">
        <v>50</v>
      </c>
      <c r="B77" s="3">
        <v>1</v>
      </c>
      <c r="C77" s="3">
        <v>0</v>
      </c>
      <c r="D77" s="3">
        <v>2</v>
      </c>
      <c r="E77" s="3">
        <v>0</v>
      </c>
      <c r="F77" s="3">
        <f>ROUND(Source!F75+Source!F76,2)</f>
        <v>7000369.29</v>
      </c>
      <c r="G77" s="3" t="s">
        <v>128</v>
      </c>
      <c r="H77" s="3" t="s">
        <v>129</v>
      </c>
      <c r="I77" s="3"/>
      <c r="J77" s="3"/>
      <c r="K77" s="3">
        <v>212</v>
      </c>
      <c r="L77" s="3">
        <v>16</v>
      </c>
      <c r="M77" s="3">
        <v>0</v>
      </c>
      <c r="N77" s="3" t="s">
        <v>5</v>
      </c>
    </row>
    <row r="81" spans="1:5">
      <c r="A81">
        <v>65</v>
      </c>
      <c r="C81">
        <v>1</v>
      </c>
      <c r="D81">
        <v>0</v>
      </c>
      <c r="E81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B32"/>
  <sheetViews>
    <sheetView tabSelected="1" topLeftCell="E1" workbookViewId="0">
      <selection activeCell="K31" sqref="K31"/>
    </sheetView>
  </sheetViews>
  <sheetFormatPr defaultRowHeight="12.75"/>
  <cols>
    <col min="7" max="7" width="16.140625" customWidth="1"/>
    <col min="10" max="10" width="0.7109375" customWidth="1"/>
    <col min="11" max="11" width="79.140625" style="61" customWidth="1"/>
  </cols>
  <sheetData>
    <row r="1" spans="1:80">
      <c r="A1">
        <f>ROW(Source!A24)</f>
        <v>24</v>
      </c>
      <c r="B1">
        <v>14333572</v>
      </c>
      <c r="C1">
        <v>14333464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130</v>
      </c>
      <c r="J1" t="s">
        <v>5</v>
      </c>
      <c r="K1" s="61" t="s">
        <v>131</v>
      </c>
      <c r="L1">
        <v>1191</v>
      </c>
      <c r="N1">
        <v>1013</v>
      </c>
      <c r="O1" t="s">
        <v>132</v>
      </c>
      <c r="P1" t="s">
        <v>132</v>
      </c>
      <c r="Q1">
        <v>1</v>
      </c>
      <c r="Y1">
        <v>0.22999999999999998</v>
      </c>
      <c r="AA1">
        <v>0</v>
      </c>
      <c r="AB1">
        <v>0</v>
      </c>
      <c r="AC1">
        <v>0</v>
      </c>
      <c r="AD1">
        <v>0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5</v>
      </c>
      <c r="AT1">
        <v>0.2</v>
      </c>
      <c r="AU1" t="s">
        <v>21</v>
      </c>
      <c r="AV1">
        <v>1</v>
      </c>
      <c r="AW1">
        <v>2</v>
      </c>
      <c r="AX1">
        <v>14333572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 ht="25.5">
      <c r="A2">
        <f>ROW(Source!A24)</f>
        <v>24</v>
      </c>
      <c r="B2">
        <v>14333573</v>
      </c>
      <c r="C2">
        <v>14333464</v>
      </c>
      <c r="D2">
        <v>7231025</v>
      </c>
      <c r="E2">
        <v>1</v>
      </c>
      <c r="F2">
        <v>1</v>
      </c>
      <c r="G2">
        <v>7157832</v>
      </c>
      <c r="H2">
        <v>2</v>
      </c>
      <c r="I2" t="s">
        <v>133</v>
      </c>
      <c r="J2" t="s">
        <v>134</v>
      </c>
      <c r="K2" s="61" t="s">
        <v>135</v>
      </c>
      <c r="L2">
        <v>1368</v>
      </c>
      <c r="N2">
        <v>1011</v>
      </c>
      <c r="O2" t="s">
        <v>136</v>
      </c>
      <c r="P2" t="s">
        <v>136</v>
      </c>
      <c r="Q2">
        <v>1</v>
      </c>
      <c r="Y2">
        <v>6.25E-2</v>
      </c>
      <c r="AA2">
        <v>0</v>
      </c>
      <c r="AB2">
        <v>744.64</v>
      </c>
      <c r="AC2">
        <v>32.54</v>
      </c>
      <c r="AD2">
        <v>0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5</v>
      </c>
      <c r="AT2">
        <v>0.05</v>
      </c>
      <c r="AU2" t="s">
        <v>20</v>
      </c>
      <c r="AV2">
        <v>0</v>
      </c>
      <c r="AW2">
        <v>2</v>
      </c>
      <c r="AX2">
        <v>14333573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ROW(Source!A24)</f>
        <v>24</v>
      </c>
      <c r="B3">
        <v>14333577</v>
      </c>
      <c r="C3">
        <v>14333464</v>
      </c>
      <c r="D3">
        <v>7233611</v>
      </c>
      <c r="E3">
        <v>1</v>
      </c>
      <c r="F3">
        <v>1</v>
      </c>
      <c r="G3">
        <v>7157832</v>
      </c>
      <c r="H3">
        <v>3</v>
      </c>
      <c r="I3" t="s">
        <v>31</v>
      </c>
      <c r="J3" t="s">
        <v>34</v>
      </c>
      <c r="K3" s="61" t="s">
        <v>32</v>
      </c>
      <c r="L3">
        <v>1346</v>
      </c>
      <c r="N3">
        <v>1009</v>
      </c>
      <c r="O3" t="s">
        <v>33</v>
      </c>
      <c r="P3" t="s">
        <v>33</v>
      </c>
      <c r="Q3">
        <v>1</v>
      </c>
      <c r="Y3">
        <v>0</v>
      </c>
      <c r="AA3">
        <v>42.29</v>
      </c>
      <c r="AB3">
        <v>0</v>
      </c>
      <c r="AC3">
        <v>0</v>
      </c>
      <c r="AD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5</v>
      </c>
      <c r="AT3">
        <v>0</v>
      </c>
      <c r="AU3" t="s">
        <v>5</v>
      </c>
      <c r="AV3">
        <v>0</v>
      </c>
      <c r="AW3">
        <v>1</v>
      </c>
      <c r="AX3">
        <v>-1</v>
      </c>
      <c r="AY3">
        <v>0</v>
      </c>
      <c r="AZ3">
        <v>0</v>
      </c>
      <c r="BA3" t="s">
        <v>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ROW(Source!A24)</f>
        <v>24</v>
      </c>
      <c r="B4">
        <v>14333617</v>
      </c>
      <c r="C4">
        <v>14333464</v>
      </c>
      <c r="D4">
        <v>7233877</v>
      </c>
      <c r="E4">
        <v>1</v>
      </c>
      <c r="F4">
        <v>1</v>
      </c>
      <c r="G4">
        <v>7157832</v>
      </c>
      <c r="H4">
        <v>3</v>
      </c>
      <c r="I4" t="s">
        <v>26</v>
      </c>
      <c r="J4" t="s">
        <v>29</v>
      </c>
      <c r="K4" s="61" t="s">
        <v>27</v>
      </c>
      <c r="L4">
        <v>1348</v>
      </c>
      <c r="N4">
        <v>1009</v>
      </c>
      <c r="O4" t="s">
        <v>28</v>
      </c>
      <c r="P4" t="s">
        <v>28</v>
      </c>
      <c r="Q4">
        <v>1000</v>
      </c>
      <c r="Y4">
        <v>5.2934490000000004E-4</v>
      </c>
      <c r="AA4">
        <v>32831.15</v>
      </c>
      <c r="AB4">
        <v>0</v>
      </c>
      <c r="AC4">
        <v>0</v>
      </c>
      <c r="AD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5</v>
      </c>
      <c r="AT4">
        <v>5.2899999999999996E-4</v>
      </c>
      <c r="AU4" t="s">
        <v>5</v>
      </c>
      <c r="AV4">
        <v>0</v>
      </c>
      <c r="AW4">
        <v>1</v>
      </c>
      <c r="AX4">
        <v>-1</v>
      </c>
      <c r="AY4">
        <v>0</v>
      </c>
      <c r="AZ4">
        <v>0</v>
      </c>
      <c r="BA4" t="s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ROW(Source!A24)</f>
        <v>24</v>
      </c>
      <c r="B5">
        <v>14333579</v>
      </c>
      <c r="C5">
        <v>14333464</v>
      </c>
      <c r="D5">
        <v>7234198</v>
      </c>
      <c r="E5">
        <v>1</v>
      </c>
      <c r="F5">
        <v>1</v>
      </c>
      <c r="G5">
        <v>7157832</v>
      </c>
      <c r="H5">
        <v>3</v>
      </c>
      <c r="I5" t="s">
        <v>36</v>
      </c>
      <c r="J5" t="s">
        <v>38</v>
      </c>
      <c r="K5" s="61" t="s">
        <v>37</v>
      </c>
      <c r="L5">
        <v>1348</v>
      </c>
      <c r="N5">
        <v>1009</v>
      </c>
      <c r="O5" t="s">
        <v>28</v>
      </c>
      <c r="P5" t="s">
        <v>28</v>
      </c>
      <c r="Q5">
        <v>1000</v>
      </c>
      <c r="Y5">
        <v>0</v>
      </c>
      <c r="AA5">
        <v>34547.81</v>
      </c>
      <c r="AB5">
        <v>0</v>
      </c>
      <c r="AC5">
        <v>0</v>
      </c>
      <c r="AD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5</v>
      </c>
      <c r="AT5">
        <v>0</v>
      </c>
      <c r="AU5" t="s">
        <v>5</v>
      </c>
      <c r="AV5">
        <v>0</v>
      </c>
      <c r="AW5">
        <v>1</v>
      </c>
      <c r="AX5">
        <v>-1</v>
      </c>
      <c r="AY5">
        <v>0</v>
      </c>
      <c r="AZ5">
        <v>0</v>
      </c>
      <c r="BA5" t="s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ROW(Source!A24)</f>
        <v>24</v>
      </c>
      <c r="B6">
        <v>14333581</v>
      </c>
      <c r="C6">
        <v>14333464</v>
      </c>
      <c r="D6">
        <v>7234458</v>
      </c>
      <c r="E6">
        <v>1</v>
      </c>
      <c r="F6">
        <v>1</v>
      </c>
      <c r="G6">
        <v>7157832</v>
      </c>
      <c r="H6">
        <v>3</v>
      </c>
      <c r="I6" t="s">
        <v>40</v>
      </c>
      <c r="J6" t="s">
        <v>42</v>
      </c>
      <c r="K6" s="61" t="s">
        <v>41</v>
      </c>
      <c r="L6">
        <v>1348</v>
      </c>
      <c r="N6">
        <v>1009</v>
      </c>
      <c r="O6" t="s">
        <v>28</v>
      </c>
      <c r="P6" t="s">
        <v>28</v>
      </c>
      <c r="Q6">
        <v>1000</v>
      </c>
      <c r="Y6">
        <v>0</v>
      </c>
      <c r="AA6">
        <v>29915.65</v>
      </c>
      <c r="AB6">
        <v>0</v>
      </c>
      <c r="AC6">
        <v>0</v>
      </c>
      <c r="AD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5</v>
      </c>
      <c r="AT6">
        <v>0</v>
      </c>
      <c r="AU6" t="s">
        <v>5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5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ROW(Source!A29)</f>
        <v>29</v>
      </c>
      <c r="B7">
        <v>14333475</v>
      </c>
      <c r="C7">
        <v>14333474</v>
      </c>
      <c r="D7">
        <v>7157835</v>
      </c>
      <c r="E7">
        <v>7157832</v>
      </c>
      <c r="F7">
        <v>1</v>
      </c>
      <c r="G7">
        <v>7157832</v>
      </c>
      <c r="H7">
        <v>1</v>
      </c>
      <c r="I7" t="s">
        <v>130</v>
      </c>
      <c r="J7" t="s">
        <v>5</v>
      </c>
      <c r="K7" s="61" t="s">
        <v>131</v>
      </c>
      <c r="L7">
        <v>1191</v>
      </c>
      <c r="N7">
        <v>1013</v>
      </c>
      <c r="O7" t="s">
        <v>132</v>
      </c>
      <c r="P7" t="s">
        <v>132</v>
      </c>
      <c r="Q7">
        <v>1</v>
      </c>
      <c r="Y7">
        <v>0.22999999999999998</v>
      </c>
      <c r="AA7">
        <v>0</v>
      </c>
      <c r="AB7">
        <v>0</v>
      </c>
      <c r="AC7">
        <v>0</v>
      </c>
      <c r="AD7">
        <v>0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5</v>
      </c>
      <c r="AT7">
        <v>0.2</v>
      </c>
      <c r="AU7" t="s">
        <v>21</v>
      </c>
      <c r="AV7">
        <v>1</v>
      </c>
      <c r="AW7">
        <v>2</v>
      </c>
      <c r="AX7">
        <v>14333486</v>
      </c>
      <c r="AY7">
        <v>1</v>
      </c>
      <c r="AZ7">
        <v>0</v>
      </c>
      <c r="BA7">
        <v>4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 ht="25.5">
      <c r="A8">
        <f>ROW(Source!A29)</f>
        <v>29</v>
      </c>
      <c r="B8">
        <v>14333476</v>
      </c>
      <c r="C8">
        <v>14333474</v>
      </c>
      <c r="D8">
        <v>7231025</v>
      </c>
      <c r="E8">
        <v>1</v>
      </c>
      <c r="F8">
        <v>1</v>
      </c>
      <c r="G8">
        <v>7157832</v>
      </c>
      <c r="H8">
        <v>2</v>
      </c>
      <c r="I8" t="s">
        <v>133</v>
      </c>
      <c r="J8" t="s">
        <v>134</v>
      </c>
      <c r="K8" s="61" t="s">
        <v>135</v>
      </c>
      <c r="L8">
        <v>1368</v>
      </c>
      <c r="N8">
        <v>1011</v>
      </c>
      <c r="O8" t="s">
        <v>136</v>
      </c>
      <c r="P8" t="s">
        <v>136</v>
      </c>
      <c r="Q8">
        <v>1</v>
      </c>
      <c r="Y8">
        <v>6.25E-2</v>
      </c>
      <c r="AA8">
        <v>0</v>
      </c>
      <c r="AB8">
        <v>744.64</v>
      </c>
      <c r="AC8">
        <v>32.54</v>
      </c>
      <c r="AD8">
        <v>0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5</v>
      </c>
      <c r="AT8">
        <v>0.05</v>
      </c>
      <c r="AU8" t="s">
        <v>20</v>
      </c>
      <c r="AV8">
        <v>0</v>
      </c>
      <c r="AW8">
        <v>2</v>
      </c>
      <c r="AX8">
        <v>14333487</v>
      </c>
      <c r="AY8">
        <v>1</v>
      </c>
      <c r="AZ8">
        <v>0</v>
      </c>
      <c r="BA8">
        <v>5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ROW(Source!A29)</f>
        <v>29</v>
      </c>
      <c r="B9">
        <v>14333479</v>
      </c>
      <c r="C9">
        <v>14333474</v>
      </c>
      <c r="D9">
        <v>7233877</v>
      </c>
      <c r="E9">
        <v>1</v>
      </c>
      <c r="F9">
        <v>1</v>
      </c>
      <c r="G9">
        <v>7157832</v>
      </c>
      <c r="H9">
        <v>3</v>
      </c>
      <c r="I9" t="s">
        <v>26</v>
      </c>
      <c r="J9" t="s">
        <v>29</v>
      </c>
      <c r="K9" s="61" t="s">
        <v>50</v>
      </c>
      <c r="L9">
        <v>1348</v>
      </c>
      <c r="N9">
        <v>1009</v>
      </c>
      <c r="O9" t="s">
        <v>28</v>
      </c>
      <c r="P9" t="s">
        <v>28</v>
      </c>
      <c r="Q9">
        <v>1000</v>
      </c>
      <c r="Y9">
        <v>0</v>
      </c>
      <c r="AA9">
        <v>32831.15</v>
      </c>
      <c r="AB9">
        <v>0</v>
      </c>
      <c r="AC9">
        <v>0</v>
      </c>
      <c r="AD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5</v>
      </c>
      <c r="AT9">
        <v>0</v>
      </c>
      <c r="AU9" t="s">
        <v>5</v>
      </c>
      <c r="AV9">
        <v>0</v>
      </c>
      <c r="AW9">
        <v>1</v>
      </c>
      <c r="AX9">
        <v>-1</v>
      </c>
      <c r="AY9">
        <v>0</v>
      </c>
      <c r="AZ9">
        <v>0</v>
      </c>
      <c r="BA9" t="s">
        <v>5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ROW(Source!A29)</f>
        <v>29</v>
      </c>
      <c r="B10">
        <v>14333619</v>
      </c>
      <c r="C10">
        <v>14333474</v>
      </c>
      <c r="D10">
        <v>7233880</v>
      </c>
      <c r="E10">
        <v>1</v>
      </c>
      <c r="F10">
        <v>1</v>
      </c>
      <c r="G10">
        <v>7157832</v>
      </c>
      <c r="H10">
        <v>3</v>
      </c>
      <c r="I10" t="s">
        <v>45</v>
      </c>
      <c r="J10" t="s">
        <v>47</v>
      </c>
      <c r="K10" s="61" t="s">
        <v>46</v>
      </c>
      <c r="L10">
        <v>1348</v>
      </c>
      <c r="N10">
        <v>1009</v>
      </c>
      <c r="O10" t="s">
        <v>28</v>
      </c>
      <c r="P10" t="s">
        <v>28</v>
      </c>
      <c r="Q10">
        <v>1000</v>
      </c>
      <c r="Y10">
        <v>5.2939999999999997E-4</v>
      </c>
      <c r="AA10">
        <v>43541.15</v>
      </c>
      <c r="AB10">
        <v>0</v>
      </c>
      <c r="AC10">
        <v>0</v>
      </c>
      <c r="AD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5</v>
      </c>
      <c r="AT10">
        <v>5.2939999999999997E-4</v>
      </c>
      <c r="AU10" t="s">
        <v>5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5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ROW(Source!A29)</f>
        <v>29</v>
      </c>
      <c r="B11">
        <v>14333480</v>
      </c>
      <c r="C11">
        <v>14333474</v>
      </c>
      <c r="D11">
        <v>7233884</v>
      </c>
      <c r="E11">
        <v>1</v>
      </c>
      <c r="F11">
        <v>1</v>
      </c>
      <c r="G11">
        <v>7157832</v>
      </c>
      <c r="H11">
        <v>3</v>
      </c>
      <c r="I11" t="s">
        <v>137</v>
      </c>
      <c r="J11" t="s">
        <v>138</v>
      </c>
      <c r="K11" s="61" t="s">
        <v>139</v>
      </c>
      <c r="L11">
        <v>1348</v>
      </c>
      <c r="N11">
        <v>1009</v>
      </c>
      <c r="O11" t="s">
        <v>28</v>
      </c>
      <c r="P11" t="s">
        <v>28</v>
      </c>
      <c r="Q11">
        <v>1000</v>
      </c>
      <c r="Y11">
        <v>5.2999999999999998E-4</v>
      </c>
      <c r="AA11">
        <v>28841.78</v>
      </c>
      <c r="AB11">
        <v>0</v>
      </c>
      <c r="AC11">
        <v>0</v>
      </c>
      <c r="AD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5</v>
      </c>
      <c r="AT11">
        <v>5.2999999999999998E-4</v>
      </c>
      <c r="AU11" t="s">
        <v>5</v>
      </c>
      <c r="AV11">
        <v>0</v>
      </c>
      <c r="AW11">
        <v>1</v>
      </c>
      <c r="AX11">
        <v>-1</v>
      </c>
      <c r="AY11">
        <v>0</v>
      </c>
      <c r="AZ11">
        <v>0</v>
      </c>
      <c r="BA11" t="s">
        <v>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ROW(Source!A29)</f>
        <v>29</v>
      </c>
      <c r="B12">
        <v>14333481</v>
      </c>
      <c r="C12">
        <v>14333474</v>
      </c>
      <c r="D12">
        <v>7233885</v>
      </c>
      <c r="E12">
        <v>1</v>
      </c>
      <c r="F12">
        <v>1</v>
      </c>
      <c r="G12">
        <v>7157832</v>
      </c>
      <c r="H12">
        <v>3</v>
      </c>
      <c r="I12" t="s">
        <v>140</v>
      </c>
      <c r="J12" t="s">
        <v>141</v>
      </c>
      <c r="K12" s="61" t="s">
        <v>142</v>
      </c>
      <c r="L12">
        <v>1348</v>
      </c>
      <c r="N12">
        <v>1009</v>
      </c>
      <c r="O12" t="s">
        <v>28</v>
      </c>
      <c r="P12" t="s">
        <v>28</v>
      </c>
      <c r="Q12">
        <v>1000</v>
      </c>
      <c r="Y12">
        <v>5.2999999999999998E-4</v>
      </c>
      <c r="AA12">
        <v>32290.23</v>
      </c>
      <c r="AB12">
        <v>0</v>
      </c>
      <c r="AC12">
        <v>0</v>
      </c>
      <c r="AD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5</v>
      </c>
      <c r="AT12">
        <v>5.2999999999999998E-4</v>
      </c>
      <c r="AU12" t="s">
        <v>5</v>
      </c>
      <c r="AV12">
        <v>0</v>
      </c>
      <c r="AW12">
        <v>1</v>
      </c>
      <c r="AX12">
        <v>-1</v>
      </c>
      <c r="AY12">
        <v>0</v>
      </c>
      <c r="AZ12">
        <v>0</v>
      </c>
      <c r="BA12" t="s">
        <v>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ROW(Source!A29)</f>
        <v>29</v>
      </c>
      <c r="B13">
        <v>14333482</v>
      </c>
      <c r="C13">
        <v>14333474</v>
      </c>
      <c r="D13">
        <v>7233888</v>
      </c>
      <c r="E13">
        <v>1</v>
      </c>
      <c r="F13">
        <v>1</v>
      </c>
      <c r="G13">
        <v>7157832</v>
      </c>
      <c r="H13">
        <v>3</v>
      </c>
      <c r="I13" t="s">
        <v>143</v>
      </c>
      <c r="J13" t="s">
        <v>144</v>
      </c>
      <c r="K13" s="61" t="s">
        <v>145</v>
      </c>
      <c r="L13">
        <v>1348</v>
      </c>
      <c r="N13">
        <v>1009</v>
      </c>
      <c r="O13" t="s">
        <v>28</v>
      </c>
      <c r="P13" t="s">
        <v>28</v>
      </c>
      <c r="Q13">
        <v>1000</v>
      </c>
      <c r="Y13">
        <v>5.2999999999999998E-4</v>
      </c>
      <c r="AA13">
        <v>34191.57</v>
      </c>
      <c r="AB13">
        <v>0</v>
      </c>
      <c r="AC13">
        <v>0</v>
      </c>
      <c r="AD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5</v>
      </c>
      <c r="AT13">
        <v>5.2999999999999998E-4</v>
      </c>
      <c r="AU13" t="s">
        <v>5</v>
      </c>
      <c r="AV13">
        <v>0</v>
      </c>
      <c r="AW13">
        <v>1</v>
      </c>
      <c r="AX13">
        <v>-1</v>
      </c>
      <c r="AY13">
        <v>0</v>
      </c>
      <c r="AZ13">
        <v>0</v>
      </c>
      <c r="BA13" t="s">
        <v>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ROW(Source!A29)</f>
        <v>29</v>
      </c>
      <c r="B14">
        <v>14333478</v>
      </c>
      <c r="C14">
        <v>14333474</v>
      </c>
      <c r="D14">
        <v>7233889</v>
      </c>
      <c r="E14">
        <v>1</v>
      </c>
      <c r="F14">
        <v>1</v>
      </c>
      <c r="G14">
        <v>7157832</v>
      </c>
      <c r="H14">
        <v>3</v>
      </c>
      <c r="I14" t="s">
        <v>54</v>
      </c>
      <c r="J14" t="s">
        <v>56</v>
      </c>
      <c r="K14" s="61" t="s">
        <v>55</v>
      </c>
      <c r="L14">
        <v>1348</v>
      </c>
      <c r="N14">
        <v>1009</v>
      </c>
      <c r="O14" t="s">
        <v>28</v>
      </c>
      <c r="P14" t="s">
        <v>28</v>
      </c>
      <c r="Q14">
        <v>1000</v>
      </c>
      <c r="Y14">
        <v>0</v>
      </c>
      <c r="AA14">
        <v>38228</v>
      </c>
      <c r="AB14">
        <v>0</v>
      </c>
      <c r="AC14">
        <v>0</v>
      </c>
      <c r="AD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5</v>
      </c>
      <c r="AT14">
        <v>0</v>
      </c>
      <c r="AU14" t="s">
        <v>5</v>
      </c>
      <c r="AV14">
        <v>0</v>
      </c>
      <c r="AW14">
        <v>1</v>
      </c>
      <c r="AX14">
        <v>-1</v>
      </c>
      <c r="AY14">
        <v>0</v>
      </c>
      <c r="AZ14">
        <v>0</v>
      </c>
      <c r="BA14" t="s">
        <v>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  <row r="15" spans="1:80">
      <c r="A15">
        <f>ROW(Source!A29)</f>
        <v>29</v>
      </c>
      <c r="B15">
        <v>14333483</v>
      </c>
      <c r="C15">
        <v>14333474</v>
      </c>
      <c r="D15">
        <v>7234198</v>
      </c>
      <c r="E15">
        <v>1</v>
      </c>
      <c r="F15">
        <v>1</v>
      </c>
      <c r="G15">
        <v>7157832</v>
      </c>
      <c r="H15">
        <v>3</v>
      </c>
      <c r="I15" t="s">
        <v>36</v>
      </c>
      <c r="J15" t="s">
        <v>38</v>
      </c>
      <c r="K15" s="61" t="s">
        <v>37</v>
      </c>
      <c r="L15">
        <v>1348</v>
      </c>
      <c r="N15">
        <v>1009</v>
      </c>
      <c r="O15" t="s">
        <v>28</v>
      </c>
      <c r="P15" t="s">
        <v>28</v>
      </c>
      <c r="Q15">
        <v>1000</v>
      </c>
      <c r="Y15">
        <v>0</v>
      </c>
      <c r="AA15">
        <v>34547.81</v>
      </c>
      <c r="AB15">
        <v>0</v>
      </c>
      <c r="AC15">
        <v>0</v>
      </c>
      <c r="AD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5</v>
      </c>
      <c r="AT15">
        <v>0</v>
      </c>
      <c r="AU15" t="s">
        <v>5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>
      <c r="A16">
        <f>ROW(Source!A29)</f>
        <v>29</v>
      </c>
      <c r="B16">
        <v>14333477</v>
      </c>
      <c r="C16">
        <v>14333474</v>
      </c>
      <c r="D16">
        <v>7234199</v>
      </c>
      <c r="E16">
        <v>1</v>
      </c>
      <c r="F16">
        <v>1</v>
      </c>
      <c r="G16">
        <v>7157832</v>
      </c>
      <c r="H16">
        <v>3</v>
      </c>
      <c r="I16" t="s">
        <v>49</v>
      </c>
      <c r="J16" t="s">
        <v>51</v>
      </c>
      <c r="K16" s="61" t="s">
        <v>50</v>
      </c>
      <c r="L16">
        <v>1348</v>
      </c>
      <c r="N16">
        <v>1009</v>
      </c>
      <c r="O16" t="s">
        <v>28</v>
      </c>
      <c r="P16" t="s">
        <v>28</v>
      </c>
      <c r="Q16">
        <v>1000</v>
      </c>
      <c r="Y16">
        <v>0</v>
      </c>
      <c r="AA16">
        <v>30489.599999999999</v>
      </c>
      <c r="AB16">
        <v>0</v>
      </c>
      <c r="AC16">
        <v>0</v>
      </c>
      <c r="AD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5</v>
      </c>
      <c r="AT16">
        <v>0</v>
      </c>
      <c r="AU16" t="s">
        <v>5</v>
      </c>
      <c r="AV16">
        <v>0</v>
      </c>
      <c r="AW16">
        <v>1</v>
      </c>
      <c r="AX16">
        <v>-1</v>
      </c>
      <c r="AY16">
        <v>0</v>
      </c>
      <c r="AZ16">
        <v>0</v>
      </c>
      <c r="BA16" t="s">
        <v>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>
      <c r="A17">
        <f>ROW(Source!A29)</f>
        <v>29</v>
      </c>
      <c r="B17">
        <v>14333484</v>
      </c>
      <c r="C17">
        <v>14333474</v>
      </c>
      <c r="D17">
        <v>7234302</v>
      </c>
      <c r="E17">
        <v>1</v>
      </c>
      <c r="F17">
        <v>1</v>
      </c>
      <c r="G17">
        <v>7157832</v>
      </c>
      <c r="H17">
        <v>3</v>
      </c>
      <c r="I17" t="s">
        <v>59</v>
      </c>
      <c r="J17" t="s">
        <v>61</v>
      </c>
      <c r="K17" s="61" t="s">
        <v>60</v>
      </c>
      <c r="L17">
        <v>1346</v>
      </c>
      <c r="N17">
        <v>1009</v>
      </c>
      <c r="O17" t="s">
        <v>33</v>
      </c>
      <c r="P17" t="s">
        <v>33</v>
      </c>
      <c r="Q17">
        <v>1</v>
      </c>
      <c r="Y17">
        <v>0</v>
      </c>
      <c r="AA17">
        <v>26.75</v>
      </c>
      <c r="AB17">
        <v>0</v>
      </c>
      <c r="AC17">
        <v>0</v>
      </c>
      <c r="AD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5</v>
      </c>
      <c r="AT17">
        <v>0</v>
      </c>
      <c r="AU17" t="s">
        <v>5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>
      <c r="A18">
        <f>ROW(Source!A29)</f>
        <v>29</v>
      </c>
      <c r="B18">
        <v>14333485</v>
      </c>
      <c r="C18">
        <v>14333474</v>
      </c>
      <c r="D18">
        <v>7234458</v>
      </c>
      <c r="E18">
        <v>1</v>
      </c>
      <c r="F18">
        <v>1</v>
      </c>
      <c r="G18">
        <v>7157832</v>
      </c>
      <c r="H18">
        <v>3</v>
      </c>
      <c r="I18" t="s">
        <v>40</v>
      </c>
      <c r="J18" t="s">
        <v>42</v>
      </c>
      <c r="K18" s="61" t="s">
        <v>41</v>
      </c>
      <c r="L18">
        <v>1348</v>
      </c>
      <c r="N18">
        <v>1009</v>
      </c>
      <c r="O18" t="s">
        <v>28</v>
      </c>
      <c r="P18" t="s">
        <v>28</v>
      </c>
      <c r="Q18">
        <v>1000</v>
      </c>
      <c r="Y18">
        <v>0</v>
      </c>
      <c r="AA18">
        <v>29915.65</v>
      </c>
      <c r="AB18">
        <v>0</v>
      </c>
      <c r="AC18">
        <v>0</v>
      </c>
      <c r="AD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5</v>
      </c>
      <c r="AT18">
        <v>0</v>
      </c>
      <c r="AU18" t="s">
        <v>5</v>
      </c>
      <c r="AV18">
        <v>0</v>
      </c>
      <c r="AW18">
        <v>1</v>
      </c>
      <c r="AX18">
        <v>-1</v>
      </c>
      <c r="AY18">
        <v>0</v>
      </c>
      <c r="AZ18">
        <v>0</v>
      </c>
      <c r="BA18" t="s">
        <v>5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B18">
        <v>0</v>
      </c>
    </row>
    <row r="19" spans="1:80">
      <c r="A19">
        <f>ROW(Source!A37)</f>
        <v>37</v>
      </c>
      <c r="B19">
        <v>14333496</v>
      </c>
      <c r="C19">
        <v>14333495</v>
      </c>
      <c r="D19">
        <v>7157835</v>
      </c>
      <c r="E19">
        <v>7157832</v>
      </c>
      <c r="F19">
        <v>1</v>
      </c>
      <c r="G19">
        <v>7157832</v>
      </c>
      <c r="H19">
        <v>1</v>
      </c>
      <c r="I19" t="s">
        <v>130</v>
      </c>
      <c r="J19" t="s">
        <v>5</v>
      </c>
      <c r="K19" s="61" t="s">
        <v>131</v>
      </c>
      <c r="L19">
        <v>1191</v>
      </c>
      <c r="N19">
        <v>1013</v>
      </c>
      <c r="O19" t="s">
        <v>132</v>
      </c>
      <c r="P19" t="s">
        <v>132</v>
      </c>
      <c r="Q19">
        <v>1</v>
      </c>
      <c r="Y19">
        <v>260</v>
      </c>
      <c r="AA19">
        <v>0</v>
      </c>
      <c r="AB19">
        <v>0</v>
      </c>
      <c r="AC19">
        <v>0</v>
      </c>
      <c r="AD19">
        <v>0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5</v>
      </c>
      <c r="AT19">
        <v>260</v>
      </c>
      <c r="AU19" t="s">
        <v>5</v>
      </c>
      <c r="AV19">
        <v>1</v>
      </c>
      <c r="AW19">
        <v>2</v>
      </c>
      <c r="AX19">
        <v>14333498</v>
      </c>
      <c r="AY19">
        <v>1</v>
      </c>
      <c r="AZ19">
        <v>0</v>
      </c>
      <c r="BA19">
        <v>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B19">
        <v>0</v>
      </c>
    </row>
    <row r="20" spans="1:80">
      <c r="A20">
        <f>ROW(Source!A37)</f>
        <v>37</v>
      </c>
      <c r="B20">
        <v>14333497</v>
      </c>
      <c r="C20">
        <v>14333495</v>
      </c>
      <c r="D20">
        <v>7233885</v>
      </c>
      <c r="E20">
        <v>1</v>
      </c>
      <c r="F20">
        <v>1</v>
      </c>
      <c r="G20">
        <v>7157832</v>
      </c>
      <c r="H20">
        <v>3</v>
      </c>
      <c r="I20" t="s">
        <v>140</v>
      </c>
      <c r="J20" t="s">
        <v>141</v>
      </c>
      <c r="K20" s="61" t="s">
        <v>142</v>
      </c>
      <c r="L20">
        <v>1348</v>
      </c>
      <c r="N20">
        <v>1009</v>
      </c>
      <c r="O20" t="s">
        <v>28</v>
      </c>
      <c r="P20" t="s">
        <v>28</v>
      </c>
      <c r="Q20">
        <v>1000</v>
      </c>
      <c r="Y20">
        <v>0</v>
      </c>
      <c r="AA20">
        <v>32290.23</v>
      </c>
      <c r="AB20">
        <v>0</v>
      </c>
      <c r="AC20">
        <v>0</v>
      </c>
      <c r="AD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5</v>
      </c>
      <c r="AT20">
        <v>0</v>
      </c>
      <c r="AU20" t="s">
        <v>5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B20">
        <v>0</v>
      </c>
    </row>
    <row r="21" spans="1:80">
      <c r="A21">
        <f>ROW(Source!A38)</f>
        <v>38</v>
      </c>
      <c r="B21">
        <v>14333500</v>
      </c>
      <c r="C21">
        <v>14333499</v>
      </c>
      <c r="D21">
        <v>7157835</v>
      </c>
      <c r="E21">
        <v>7157832</v>
      </c>
      <c r="F21">
        <v>1</v>
      </c>
      <c r="G21">
        <v>7157832</v>
      </c>
      <c r="H21">
        <v>1</v>
      </c>
      <c r="I21" t="s">
        <v>130</v>
      </c>
      <c r="J21" t="s">
        <v>5</v>
      </c>
      <c r="K21" s="61" t="s">
        <v>131</v>
      </c>
      <c r="L21">
        <v>1191</v>
      </c>
      <c r="N21">
        <v>1013</v>
      </c>
      <c r="O21" t="s">
        <v>132</v>
      </c>
      <c r="P21" t="s">
        <v>132</v>
      </c>
      <c r="Q21">
        <v>1</v>
      </c>
      <c r="Y21">
        <v>297.86</v>
      </c>
      <c r="AA21">
        <v>0</v>
      </c>
      <c r="AB21">
        <v>0</v>
      </c>
      <c r="AC21">
        <v>0</v>
      </c>
      <c r="AD21">
        <v>0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5</v>
      </c>
      <c r="AT21">
        <v>297.86</v>
      </c>
      <c r="AU21" t="s">
        <v>5</v>
      </c>
      <c r="AV21">
        <v>1</v>
      </c>
      <c r="AW21">
        <v>2</v>
      </c>
      <c r="AX21">
        <v>14333507</v>
      </c>
      <c r="AY21">
        <v>1</v>
      </c>
      <c r="AZ21">
        <v>0</v>
      </c>
      <c r="BA21">
        <v>8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>
      <c r="A22">
        <f>ROW(Source!A38)</f>
        <v>38</v>
      </c>
      <c r="B22">
        <v>14333501</v>
      </c>
      <c r="C22">
        <v>14333499</v>
      </c>
      <c r="D22">
        <v>7231096</v>
      </c>
      <c r="E22">
        <v>1</v>
      </c>
      <c r="F22">
        <v>1</v>
      </c>
      <c r="G22">
        <v>7157832</v>
      </c>
      <c r="H22">
        <v>2</v>
      </c>
      <c r="I22" t="s">
        <v>146</v>
      </c>
      <c r="J22" t="s">
        <v>147</v>
      </c>
      <c r="K22" s="61" t="s">
        <v>148</v>
      </c>
      <c r="L22">
        <v>1368</v>
      </c>
      <c r="N22">
        <v>1011</v>
      </c>
      <c r="O22" t="s">
        <v>136</v>
      </c>
      <c r="P22" t="s">
        <v>136</v>
      </c>
      <c r="Q22">
        <v>1</v>
      </c>
      <c r="Y22">
        <v>0</v>
      </c>
      <c r="AA22">
        <v>0</v>
      </c>
      <c r="AB22">
        <v>101.39</v>
      </c>
      <c r="AC22">
        <v>22.54</v>
      </c>
      <c r="AD22">
        <v>0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5</v>
      </c>
      <c r="AT22">
        <v>11</v>
      </c>
      <c r="AU22" t="s">
        <v>76</v>
      </c>
      <c r="AV22">
        <v>0</v>
      </c>
      <c r="AW22">
        <v>2</v>
      </c>
      <c r="AX22">
        <v>14333508</v>
      </c>
      <c r="AY22">
        <v>1</v>
      </c>
      <c r="AZ22">
        <v>0</v>
      </c>
      <c r="BA22">
        <v>9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>
      <c r="A23">
        <f>ROW(Source!A38)</f>
        <v>38</v>
      </c>
      <c r="B23">
        <v>14333502</v>
      </c>
      <c r="C23">
        <v>14333499</v>
      </c>
      <c r="D23">
        <v>7231769</v>
      </c>
      <c r="E23">
        <v>1</v>
      </c>
      <c r="F23">
        <v>1</v>
      </c>
      <c r="G23">
        <v>7157832</v>
      </c>
      <c r="H23">
        <v>3</v>
      </c>
      <c r="I23" t="s">
        <v>149</v>
      </c>
      <c r="J23" t="s">
        <v>150</v>
      </c>
      <c r="K23" s="61" t="s">
        <v>151</v>
      </c>
      <c r="L23">
        <v>1348</v>
      </c>
      <c r="N23">
        <v>1009</v>
      </c>
      <c r="O23" t="s">
        <v>28</v>
      </c>
      <c r="P23" t="s">
        <v>28</v>
      </c>
      <c r="Q23">
        <v>1000</v>
      </c>
      <c r="Y23">
        <v>4.8000000000000001E-2</v>
      </c>
      <c r="AA23">
        <v>24618.39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5</v>
      </c>
      <c r="AT23">
        <v>4.8000000000000001E-2</v>
      </c>
      <c r="AU23" t="s">
        <v>5</v>
      </c>
      <c r="AV23">
        <v>0</v>
      </c>
      <c r="AW23">
        <v>2</v>
      </c>
      <c r="AX23">
        <v>14333509</v>
      </c>
      <c r="AY23">
        <v>1</v>
      </c>
      <c r="AZ23">
        <v>0</v>
      </c>
      <c r="BA23">
        <v>10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B23">
        <v>0</v>
      </c>
    </row>
    <row r="24" spans="1:80">
      <c r="A24">
        <f>ROW(Source!A38)</f>
        <v>38</v>
      </c>
      <c r="B24">
        <v>14333503</v>
      </c>
      <c r="C24">
        <v>14333499</v>
      </c>
      <c r="D24">
        <v>7238846</v>
      </c>
      <c r="E24">
        <v>1</v>
      </c>
      <c r="F24">
        <v>1</v>
      </c>
      <c r="G24">
        <v>7157832</v>
      </c>
      <c r="H24">
        <v>3</v>
      </c>
      <c r="I24" t="s">
        <v>80</v>
      </c>
      <c r="J24" t="s">
        <v>83</v>
      </c>
      <c r="K24" s="61" t="s">
        <v>81</v>
      </c>
      <c r="L24">
        <v>1354</v>
      </c>
      <c r="N24">
        <v>1010</v>
      </c>
      <c r="O24" t="s">
        <v>82</v>
      </c>
      <c r="P24" t="s">
        <v>82</v>
      </c>
      <c r="Q24">
        <v>1</v>
      </c>
      <c r="Y24">
        <v>100</v>
      </c>
      <c r="AA24">
        <v>574.45000000000005</v>
      </c>
      <c r="AB24">
        <v>0</v>
      </c>
      <c r="AC24">
        <v>0</v>
      </c>
      <c r="AD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5</v>
      </c>
      <c r="AT24">
        <v>100</v>
      </c>
      <c r="AU24" t="s">
        <v>5</v>
      </c>
      <c r="AV24">
        <v>0</v>
      </c>
      <c r="AW24">
        <v>1</v>
      </c>
      <c r="AX24">
        <v>-1</v>
      </c>
      <c r="AY24">
        <v>0</v>
      </c>
      <c r="AZ24">
        <v>0</v>
      </c>
      <c r="BA24" t="s">
        <v>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B24">
        <v>0</v>
      </c>
    </row>
    <row r="25" spans="1:80" ht="38.25">
      <c r="A25">
        <f>ROW(Source!A38)</f>
        <v>38</v>
      </c>
      <c r="B25">
        <v>14333504</v>
      </c>
      <c r="C25">
        <v>14333499</v>
      </c>
      <c r="D25">
        <v>7238828</v>
      </c>
      <c r="E25">
        <v>1</v>
      </c>
      <c r="F25">
        <v>1</v>
      </c>
      <c r="G25">
        <v>7157832</v>
      </c>
      <c r="H25">
        <v>3</v>
      </c>
      <c r="I25" t="s">
        <v>89</v>
      </c>
      <c r="J25" t="s">
        <v>91</v>
      </c>
      <c r="K25" s="61" t="s">
        <v>90</v>
      </c>
      <c r="L25">
        <v>1354</v>
      </c>
      <c r="N25">
        <v>1010</v>
      </c>
      <c r="O25" t="s">
        <v>82</v>
      </c>
      <c r="P25" t="s">
        <v>82</v>
      </c>
      <c r="Q25">
        <v>1</v>
      </c>
      <c r="Y25">
        <v>200</v>
      </c>
      <c r="AA25">
        <v>312.87</v>
      </c>
      <c r="AB25">
        <v>0</v>
      </c>
      <c r="AC25">
        <v>0</v>
      </c>
      <c r="AD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5</v>
      </c>
      <c r="AT25">
        <v>200</v>
      </c>
      <c r="AU25" t="s">
        <v>5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 ht="25.5">
      <c r="A26">
        <f>ROW(Source!A38)</f>
        <v>38</v>
      </c>
      <c r="B26">
        <v>14333506</v>
      </c>
      <c r="C26">
        <v>14333499</v>
      </c>
      <c r="D26">
        <v>7238841</v>
      </c>
      <c r="E26">
        <v>1</v>
      </c>
      <c r="F26">
        <v>1</v>
      </c>
      <c r="G26">
        <v>7157832</v>
      </c>
      <c r="H26">
        <v>3</v>
      </c>
      <c r="I26" t="s">
        <v>152</v>
      </c>
      <c r="J26" t="s">
        <v>153</v>
      </c>
      <c r="K26" s="61" t="s">
        <v>154</v>
      </c>
      <c r="L26">
        <v>1354</v>
      </c>
      <c r="N26">
        <v>1010</v>
      </c>
      <c r="O26" t="s">
        <v>82</v>
      </c>
      <c r="P26" t="s">
        <v>82</v>
      </c>
      <c r="Q26">
        <v>1</v>
      </c>
      <c r="Y26">
        <v>100</v>
      </c>
      <c r="AA26">
        <v>345.12</v>
      </c>
      <c r="AB26">
        <v>0</v>
      </c>
      <c r="AC26">
        <v>0</v>
      </c>
      <c r="AD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5</v>
      </c>
      <c r="AT26">
        <v>100</v>
      </c>
      <c r="AU26" t="s">
        <v>5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 ht="25.5">
      <c r="A27">
        <f>ROW(Source!A38)</f>
        <v>38</v>
      </c>
      <c r="B27">
        <v>14333505</v>
      </c>
      <c r="C27">
        <v>14333499</v>
      </c>
      <c r="D27">
        <v>7238816</v>
      </c>
      <c r="E27">
        <v>1</v>
      </c>
      <c r="F27">
        <v>1</v>
      </c>
      <c r="G27">
        <v>7157832</v>
      </c>
      <c r="H27">
        <v>3</v>
      </c>
      <c r="I27" t="s">
        <v>85</v>
      </c>
      <c r="J27" t="s">
        <v>87</v>
      </c>
      <c r="K27" s="61" t="s">
        <v>86</v>
      </c>
      <c r="L27">
        <v>1354</v>
      </c>
      <c r="N27">
        <v>1010</v>
      </c>
      <c r="O27" t="s">
        <v>82</v>
      </c>
      <c r="P27" t="s">
        <v>82</v>
      </c>
      <c r="Q27">
        <v>1</v>
      </c>
      <c r="Y27">
        <v>100</v>
      </c>
      <c r="AA27">
        <v>479.07</v>
      </c>
      <c r="AB27">
        <v>0</v>
      </c>
      <c r="AC27">
        <v>0</v>
      </c>
      <c r="AD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5</v>
      </c>
      <c r="AT27">
        <v>100</v>
      </c>
      <c r="AU27" t="s">
        <v>5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B27">
        <v>0</v>
      </c>
    </row>
    <row r="28" spans="1:80">
      <c r="A28">
        <f>ROW(Source!A42)</f>
        <v>42</v>
      </c>
      <c r="B28">
        <v>14333516</v>
      </c>
      <c r="C28">
        <v>14333515</v>
      </c>
      <c r="D28">
        <v>7157835</v>
      </c>
      <c r="E28">
        <v>7157832</v>
      </c>
      <c r="F28">
        <v>1</v>
      </c>
      <c r="G28">
        <v>7157832</v>
      </c>
      <c r="H28">
        <v>1</v>
      </c>
      <c r="I28" t="s">
        <v>130</v>
      </c>
      <c r="J28" t="s">
        <v>5</v>
      </c>
      <c r="K28" s="61" t="s">
        <v>131</v>
      </c>
      <c r="L28">
        <v>1191</v>
      </c>
      <c r="N28">
        <v>1013</v>
      </c>
      <c r="O28" t="s">
        <v>132</v>
      </c>
      <c r="P28" t="s">
        <v>132</v>
      </c>
      <c r="Q28">
        <v>1</v>
      </c>
      <c r="Y28">
        <v>3.58</v>
      </c>
      <c r="AA28">
        <v>0</v>
      </c>
      <c r="AB28">
        <v>0</v>
      </c>
      <c r="AC28">
        <v>0</v>
      </c>
      <c r="AD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5</v>
      </c>
      <c r="AT28">
        <v>3.58</v>
      </c>
      <c r="AU28" t="s">
        <v>5</v>
      </c>
      <c r="AV28">
        <v>1</v>
      </c>
      <c r="AW28">
        <v>2</v>
      </c>
      <c r="AX28">
        <v>14333521</v>
      </c>
      <c r="AY28">
        <v>1</v>
      </c>
      <c r="AZ28">
        <v>0</v>
      </c>
      <c r="BA28">
        <v>13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B28">
        <v>0</v>
      </c>
    </row>
    <row r="29" spans="1:80">
      <c r="A29">
        <f>ROW(Source!A42)</f>
        <v>42</v>
      </c>
      <c r="B29">
        <v>14333517</v>
      </c>
      <c r="C29">
        <v>14333515</v>
      </c>
      <c r="D29">
        <v>7231371</v>
      </c>
      <c r="E29">
        <v>1</v>
      </c>
      <c r="F29">
        <v>1</v>
      </c>
      <c r="G29">
        <v>7157832</v>
      </c>
      <c r="H29">
        <v>2</v>
      </c>
      <c r="I29" t="s">
        <v>155</v>
      </c>
      <c r="J29" t="s">
        <v>156</v>
      </c>
      <c r="K29" s="61" t="s">
        <v>157</v>
      </c>
      <c r="L29">
        <v>1368</v>
      </c>
      <c r="N29">
        <v>1011</v>
      </c>
      <c r="O29" t="s">
        <v>136</v>
      </c>
      <c r="P29" t="s">
        <v>136</v>
      </c>
      <c r="Q29">
        <v>1</v>
      </c>
      <c r="Y29">
        <v>1.2</v>
      </c>
      <c r="AA29">
        <v>0</v>
      </c>
      <c r="AB29">
        <v>148.4</v>
      </c>
      <c r="AC29">
        <v>38.619999999999997</v>
      </c>
      <c r="AD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5</v>
      </c>
      <c r="AT29">
        <v>1.2</v>
      </c>
      <c r="AU29" t="s">
        <v>5</v>
      </c>
      <c r="AV29">
        <v>0</v>
      </c>
      <c r="AW29">
        <v>2</v>
      </c>
      <c r="AX29">
        <v>14333522</v>
      </c>
      <c r="AY29">
        <v>1</v>
      </c>
      <c r="AZ29">
        <v>0</v>
      </c>
      <c r="BA29">
        <v>14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 ht="25.5">
      <c r="A30">
        <f>ROW(Source!A42)</f>
        <v>42</v>
      </c>
      <c r="B30">
        <v>14333518</v>
      </c>
      <c r="C30">
        <v>14333515</v>
      </c>
      <c r="D30">
        <v>7232995</v>
      </c>
      <c r="E30">
        <v>1</v>
      </c>
      <c r="F30">
        <v>1</v>
      </c>
      <c r="G30">
        <v>7157832</v>
      </c>
      <c r="H30">
        <v>3</v>
      </c>
      <c r="I30" t="s">
        <v>158</v>
      </c>
      <c r="J30" t="s">
        <v>159</v>
      </c>
      <c r="K30" s="61" t="s">
        <v>160</v>
      </c>
      <c r="L30">
        <v>1348</v>
      </c>
      <c r="N30">
        <v>1009</v>
      </c>
      <c r="O30" t="s">
        <v>28</v>
      </c>
      <c r="P30" t="s">
        <v>28</v>
      </c>
      <c r="Q30">
        <v>1000</v>
      </c>
      <c r="Y30">
        <v>5.3999999999999999E-2</v>
      </c>
      <c r="AA30">
        <v>351.13</v>
      </c>
      <c r="AB30">
        <v>0</v>
      </c>
      <c r="AC30">
        <v>0</v>
      </c>
      <c r="AD30">
        <v>0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5</v>
      </c>
      <c r="AT30">
        <v>5.3999999999999999E-2</v>
      </c>
      <c r="AU30" t="s">
        <v>5</v>
      </c>
      <c r="AV30">
        <v>0</v>
      </c>
      <c r="AW30">
        <v>2</v>
      </c>
      <c r="AX30">
        <v>14333523</v>
      </c>
      <c r="AY30">
        <v>1</v>
      </c>
      <c r="AZ30">
        <v>0</v>
      </c>
      <c r="BA30">
        <v>15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>
      <c r="A31">
        <f>ROW(Source!A42)</f>
        <v>42</v>
      </c>
      <c r="B31">
        <v>14333519</v>
      </c>
      <c r="C31">
        <v>14333515</v>
      </c>
      <c r="D31">
        <v>7233176</v>
      </c>
      <c r="E31">
        <v>1</v>
      </c>
      <c r="F31">
        <v>1</v>
      </c>
      <c r="G31">
        <v>7157832</v>
      </c>
      <c r="H31">
        <v>3</v>
      </c>
      <c r="I31" t="s">
        <v>161</v>
      </c>
      <c r="J31" t="s">
        <v>162</v>
      </c>
      <c r="K31" s="61" t="s">
        <v>163</v>
      </c>
      <c r="L31">
        <v>1339</v>
      </c>
      <c r="N31">
        <v>1007</v>
      </c>
      <c r="O31" t="s">
        <v>164</v>
      </c>
      <c r="P31" t="s">
        <v>164</v>
      </c>
      <c r="Q31">
        <v>1</v>
      </c>
      <c r="Y31">
        <v>0.16</v>
      </c>
      <c r="AA31">
        <v>202.34</v>
      </c>
      <c r="AB31">
        <v>0</v>
      </c>
      <c r="AC31">
        <v>0</v>
      </c>
      <c r="AD31">
        <v>0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5</v>
      </c>
      <c r="AT31">
        <v>0.16</v>
      </c>
      <c r="AU31" t="s">
        <v>5</v>
      </c>
      <c r="AV31">
        <v>0</v>
      </c>
      <c r="AW31">
        <v>2</v>
      </c>
      <c r="AX31">
        <v>14333524</v>
      </c>
      <c r="AY31">
        <v>1</v>
      </c>
      <c r="AZ31">
        <v>0</v>
      </c>
      <c r="BA31">
        <v>16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B31">
        <v>0</v>
      </c>
    </row>
    <row r="32" spans="1:80">
      <c r="A32">
        <f>ROW(Source!A42)</f>
        <v>42</v>
      </c>
      <c r="B32">
        <v>14333520</v>
      </c>
      <c r="C32">
        <v>14333515</v>
      </c>
      <c r="D32">
        <v>7232456</v>
      </c>
      <c r="E32">
        <v>1</v>
      </c>
      <c r="F32">
        <v>1</v>
      </c>
      <c r="G32">
        <v>7157832</v>
      </c>
      <c r="H32">
        <v>3</v>
      </c>
      <c r="I32" t="s">
        <v>165</v>
      </c>
      <c r="J32" t="s">
        <v>166</v>
      </c>
      <c r="K32" s="61" t="s">
        <v>167</v>
      </c>
      <c r="L32">
        <v>1339</v>
      </c>
      <c r="N32">
        <v>1007</v>
      </c>
      <c r="O32" t="s">
        <v>164</v>
      </c>
      <c r="P32" t="s">
        <v>164</v>
      </c>
      <c r="Q32">
        <v>1</v>
      </c>
      <c r="Y32">
        <v>0.1</v>
      </c>
      <c r="AA32">
        <v>104.99</v>
      </c>
      <c r="AB32">
        <v>0</v>
      </c>
      <c r="AC32">
        <v>0</v>
      </c>
      <c r="AD32">
        <v>0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5</v>
      </c>
      <c r="AT32">
        <v>0.1</v>
      </c>
      <c r="AU32" t="s">
        <v>5</v>
      </c>
      <c r="AV32">
        <v>0</v>
      </c>
      <c r="AW32">
        <v>2</v>
      </c>
      <c r="AX32">
        <v>14333525</v>
      </c>
      <c r="AY32">
        <v>1</v>
      </c>
      <c r="AZ32">
        <v>0</v>
      </c>
      <c r="BA32">
        <v>17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B3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7"/>
  <sheetViews>
    <sheetView workbookViewId="0"/>
  </sheetViews>
  <sheetFormatPr defaultRowHeight="12.75"/>
  <sheetData>
    <row r="1" spans="1:44">
      <c r="A1">
        <f>ROW(Source!A24)</f>
        <v>24</v>
      </c>
      <c r="B1">
        <v>14333572</v>
      </c>
      <c r="C1">
        <v>14333464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130</v>
      </c>
      <c r="J1" t="s">
        <v>5</v>
      </c>
      <c r="K1" t="s">
        <v>131</v>
      </c>
      <c r="L1">
        <v>1191</v>
      </c>
      <c r="N1">
        <v>1013</v>
      </c>
      <c r="O1" t="s">
        <v>132</v>
      </c>
      <c r="P1" t="s">
        <v>132</v>
      </c>
      <c r="Q1">
        <v>1</v>
      </c>
      <c r="X1">
        <v>0.2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21</v>
      </c>
      <c r="AG1">
        <v>0.22999999999999998</v>
      </c>
      <c r="AH1">
        <v>2</v>
      </c>
      <c r="AI1">
        <v>14333572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ROW(Source!A24)</f>
        <v>24</v>
      </c>
      <c r="B2">
        <v>14333573</v>
      </c>
      <c r="C2">
        <v>14333464</v>
      </c>
      <c r="D2">
        <v>7231025</v>
      </c>
      <c r="E2">
        <v>1</v>
      </c>
      <c r="F2">
        <v>1</v>
      </c>
      <c r="G2">
        <v>7157832</v>
      </c>
      <c r="H2">
        <v>2</v>
      </c>
      <c r="I2" t="s">
        <v>133</v>
      </c>
      <c r="J2" t="s">
        <v>134</v>
      </c>
      <c r="K2" t="s">
        <v>135</v>
      </c>
      <c r="L2">
        <v>1368</v>
      </c>
      <c r="N2">
        <v>1011</v>
      </c>
      <c r="O2" t="s">
        <v>136</v>
      </c>
      <c r="P2" t="s">
        <v>136</v>
      </c>
      <c r="Q2">
        <v>1</v>
      </c>
      <c r="X2">
        <v>0.05</v>
      </c>
      <c r="Y2">
        <v>0</v>
      </c>
      <c r="Z2">
        <v>744.64</v>
      </c>
      <c r="AA2">
        <v>32.54</v>
      </c>
      <c r="AB2">
        <v>0</v>
      </c>
      <c r="AC2">
        <v>0</v>
      </c>
      <c r="AD2">
        <v>1</v>
      </c>
      <c r="AE2">
        <v>0</v>
      </c>
      <c r="AF2" t="s">
        <v>20</v>
      </c>
      <c r="AG2">
        <v>6.25E-2</v>
      </c>
      <c r="AH2">
        <v>2</v>
      </c>
      <c r="AI2">
        <v>14333573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ROW(Source!A24)</f>
        <v>24</v>
      </c>
      <c r="B3">
        <v>14333574</v>
      </c>
      <c r="C3">
        <v>14333464</v>
      </c>
      <c r="D3">
        <v>7164079</v>
      </c>
      <c r="E3">
        <v>7157832</v>
      </c>
      <c r="F3">
        <v>1</v>
      </c>
      <c r="G3">
        <v>7157832</v>
      </c>
      <c r="H3">
        <v>3</v>
      </c>
      <c r="I3" t="s">
        <v>168</v>
      </c>
      <c r="J3" t="s">
        <v>5</v>
      </c>
      <c r="K3" t="s">
        <v>169</v>
      </c>
      <c r="L3">
        <v>1346</v>
      </c>
      <c r="N3">
        <v>1009</v>
      </c>
      <c r="O3" t="s">
        <v>33</v>
      </c>
      <c r="P3" t="s">
        <v>33</v>
      </c>
      <c r="Q3">
        <v>1</v>
      </c>
      <c r="X3">
        <v>0.53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 t="s">
        <v>5</v>
      </c>
      <c r="AG3">
        <v>0.53</v>
      </c>
      <c r="AH3">
        <v>3</v>
      </c>
      <c r="AI3">
        <v>-1</v>
      </c>
      <c r="AJ3" t="s">
        <v>5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ROW(Source!A29)</f>
        <v>29</v>
      </c>
      <c r="B4">
        <v>14333486</v>
      </c>
      <c r="C4">
        <v>14333474</v>
      </c>
      <c r="D4">
        <v>7157835</v>
      </c>
      <c r="E4">
        <v>7157832</v>
      </c>
      <c r="F4">
        <v>1</v>
      </c>
      <c r="G4">
        <v>7157832</v>
      </c>
      <c r="H4">
        <v>1</v>
      </c>
      <c r="I4" t="s">
        <v>130</v>
      </c>
      <c r="J4" t="s">
        <v>5</v>
      </c>
      <c r="K4" t="s">
        <v>131</v>
      </c>
      <c r="L4">
        <v>1191</v>
      </c>
      <c r="N4">
        <v>1013</v>
      </c>
      <c r="O4" t="s">
        <v>132</v>
      </c>
      <c r="P4" t="s">
        <v>132</v>
      </c>
      <c r="Q4">
        <v>1</v>
      </c>
      <c r="X4">
        <v>0.2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1</v>
      </c>
      <c r="AF4" t="s">
        <v>21</v>
      </c>
      <c r="AG4">
        <v>0.22999999999999998</v>
      </c>
      <c r="AH4">
        <v>2</v>
      </c>
      <c r="AI4">
        <v>14333475</v>
      </c>
      <c r="AJ4">
        <v>7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ROW(Source!A29)</f>
        <v>29</v>
      </c>
      <c r="B5">
        <v>14333487</v>
      </c>
      <c r="C5">
        <v>14333474</v>
      </c>
      <c r="D5">
        <v>7231025</v>
      </c>
      <c r="E5">
        <v>1</v>
      </c>
      <c r="F5">
        <v>1</v>
      </c>
      <c r="G5">
        <v>7157832</v>
      </c>
      <c r="H5">
        <v>2</v>
      </c>
      <c r="I5" t="s">
        <v>133</v>
      </c>
      <c r="J5" t="s">
        <v>134</v>
      </c>
      <c r="K5" t="s">
        <v>135</v>
      </c>
      <c r="L5">
        <v>1368</v>
      </c>
      <c r="N5">
        <v>1011</v>
      </c>
      <c r="O5" t="s">
        <v>136</v>
      </c>
      <c r="P5" t="s">
        <v>136</v>
      </c>
      <c r="Q5">
        <v>1</v>
      </c>
      <c r="X5">
        <v>0.05</v>
      </c>
      <c r="Y5">
        <v>0</v>
      </c>
      <c r="Z5">
        <v>744.64</v>
      </c>
      <c r="AA5">
        <v>32.54</v>
      </c>
      <c r="AB5">
        <v>0</v>
      </c>
      <c r="AC5">
        <v>0</v>
      </c>
      <c r="AD5">
        <v>1</v>
      </c>
      <c r="AE5">
        <v>0</v>
      </c>
      <c r="AF5" t="s">
        <v>20</v>
      </c>
      <c r="AG5">
        <v>6.25E-2</v>
      </c>
      <c r="AH5">
        <v>2</v>
      </c>
      <c r="AI5">
        <v>14333476</v>
      </c>
      <c r="AJ5">
        <v>8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ROW(Source!A29)</f>
        <v>29</v>
      </c>
      <c r="B6">
        <v>14333488</v>
      </c>
      <c r="C6">
        <v>14333474</v>
      </c>
      <c r="D6">
        <v>7164079</v>
      </c>
      <c r="E6">
        <v>7157832</v>
      </c>
      <c r="F6">
        <v>1</v>
      </c>
      <c r="G6">
        <v>7157832</v>
      </c>
      <c r="H6">
        <v>3</v>
      </c>
      <c r="I6" t="s">
        <v>168</v>
      </c>
      <c r="J6" t="s">
        <v>5</v>
      </c>
      <c r="K6" t="s">
        <v>169</v>
      </c>
      <c r="L6">
        <v>1346</v>
      </c>
      <c r="N6">
        <v>1009</v>
      </c>
      <c r="O6" t="s">
        <v>33</v>
      </c>
      <c r="P6" t="s">
        <v>33</v>
      </c>
      <c r="Q6">
        <v>1</v>
      </c>
      <c r="X6">
        <v>0.53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5</v>
      </c>
      <c r="AG6">
        <v>0.53</v>
      </c>
      <c r="AH6">
        <v>3</v>
      </c>
      <c r="AI6">
        <v>-1</v>
      </c>
      <c r="AJ6" t="s">
        <v>5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ROW(Source!A37)</f>
        <v>37</v>
      </c>
      <c r="B7">
        <v>14333498</v>
      </c>
      <c r="C7">
        <v>14333495</v>
      </c>
      <c r="D7">
        <v>7157835</v>
      </c>
      <c r="E7">
        <v>7157832</v>
      </c>
      <c r="F7">
        <v>1</v>
      </c>
      <c r="G7">
        <v>7157832</v>
      </c>
      <c r="H7">
        <v>1</v>
      </c>
      <c r="I7" t="s">
        <v>130</v>
      </c>
      <c r="J7" t="s">
        <v>5</v>
      </c>
      <c r="K7" t="s">
        <v>131</v>
      </c>
      <c r="L7">
        <v>1191</v>
      </c>
      <c r="N7">
        <v>1013</v>
      </c>
      <c r="O7" t="s">
        <v>132</v>
      </c>
      <c r="P7" t="s">
        <v>132</v>
      </c>
      <c r="Q7">
        <v>1</v>
      </c>
      <c r="X7">
        <v>260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1</v>
      </c>
      <c r="AF7" t="s">
        <v>5</v>
      </c>
      <c r="AG7">
        <v>260</v>
      </c>
      <c r="AH7">
        <v>2</v>
      </c>
      <c r="AI7">
        <v>14333496</v>
      </c>
      <c r="AJ7">
        <v>19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ROW(Source!A38)</f>
        <v>38</v>
      </c>
      <c r="B8">
        <v>14333507</v>
      </c>
      <c r="C8">
        <v>14333499</v>
      </c>
      <c r="D8">
        <v>7157835</v>
      </c>
      <c r="E8">
        <v>7157832</v>
      </c>
      <c r="F8">
        <v>1</v>
      </c>
      <c r="G8">
        <v>7157832</v>
      </c>
      <c r="H8">
        <v>1</v>
      </c>
      <c r="I8" t="s">
        <v>130</v>
      </c>
      <c r="J8" t="s">
        <v>5</v>
      </c>
      <c r="K8" t="s">
        <v>131</v>
      </c>
      <c r="L8">
        <v>1191</v>
      </c>
      <c r="N8">
        <v>1013</v>
      </c>
      <c r="O8" t="s">
        <v>132</v>
      </c>
      <c r="P8" t="s">
        <v>132</v>
      </c>
      <c r="Q8">
        <v>1</v>
      </c>
      <c r="X8">
        <v>297.86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1</v>
      </c>
      <c r="AF8" t="s">
        <v>5</v>
      </c>
      <c r="AG8">
        <v>297.86</v>
      </c>
      <c r="AH8">
        <v>2</v>
      </c>
      <c r="AI8">
        <v>14333500</v>
      </c>
      <c r="AJ8">
        <v>21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ROW(Source!A38)</f>
        <v>38</v>
      </c>
      <c r="B9">
        <v>14333508</v>
      </c>
      <c r="C9">
        <v>14333499</v>
      </c>
      <c r="D9">
        <v>7231096</v>
      </c>
      <c r="E9">
        <v>1</v>
      </c>
      <c r="F9">
        <v>1</v>
      </c>
      <c r="G9">
        <v>7157832</v>
      </c>
      <c r="H9">
        <v>2</v>
      </c>
      <c r="I9" t="s">
        <v>146</v>
      </c>
      <c r="J9" t="s">
        <v>147</v>
      </c>
      <c r="K9" t="s">
        <v>148</v>
      </c>
      <c r="L9">
        <v>1368</v>
      </c>
      <c r="N9">
        <v>1011</v>
      </c>
      <c r="O9" t="s">
        <v>136</v>
      </c>
      <c r="P9" t="s">
        <v>136</v>
      </c>
      <c r="Q9">
        <v>1</v>
      </c>
      <c r="X9">
        <v>11</v>
      </c>
      <c r="Y9">
        <v>0</v>
      </c>
      <c r="Z9">
        <v>101.39</v>
      </c>
      <c r="AA9">
        <v>22.54</v>
      </c>
      <c r="AB9">
        <v>0</v>
      </c>
      <c r="AC9">
        <v>0</v>
      </c>
      <c r="AD9">
        <v>1</v>
      </c>
      <c r="AE9">
        <v>0</v>
      </c>
      <c r="AF9" t="s">
        <v>76</v>
      </c>
      <c r="AG9">
        <v>0</v>
      </c>
      <c r="AH9">
        <v>2</v>
      </c>
      <c r="AI9">
        <v>14333501</v>
      </c>
      <c r="AJ9">
        <v>22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ROW(Source!A38)</f>
        <v>38</v>
      </c>
      <c r="B10">
        <v>14333509</v>
      </c>
      <c r="C10">
        <v>14333499</v>
      </c>
      <c r="D10">
        <v>7231769</v>
      </c>
      <c r="E10">
        <v>1</v>
      </c>
      <c r="F10">
        <v>1</v>
      </c>
      <c r="G10">
        <v>7157832</v>
      </c>
      <c r="H10">
        <v>3</v>
      </c>
      <c r="I10" t="s">
        <v>149</v>
      </c>
      <c r="J10" t="s">
        <v>150</v>
      </c>
      <c r="K10" t="s">
        <v>151</v>
      </c>
      <c r="L10">
        <v>1348</v>
      </c>
      <c r="N10">
        <v>1009</v>
      </c>
      <c r="O10" t="s">
        <v>28</v>
      </c>
      <c r="P10" t="s">
        <v>28</v>
      </c>
      <c r="Q10">
        <v>1000</v>
      </c>
      <c r="X10">
        <v>4.8000000000000001E-2</v>
      </c>
      <c r="Y10">
        <v>24618.39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5</v>
      </c>
      <c r="AG10">
        <v>4.8000000000000001E-2</v>
      </c>
      <c r="AH10">
        <v>2</v>
      </c>
      <c r="AI10">
        <v>14333502</v>
      </c>
      <c r="AJ10">
        <v>23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ROW(Source!A38)</f>
        <v>38</v>
      </c>
      <c r="B11">
        <v>14333510</v>
      </c>
      <c r="C11">
        <v>14333499</v>
      </c>
      <c r="D11">
        <v>7173802</v>
      </c>
      <c r="E11">
        <v>7157832</v>
      </c>
      <c r="F11">
        <v>1</v>
      </c>
      <c r="G11">
        <v>7157832</v>
      </c>
      <c r="H11">
        <v>3</v>
      </c>
      <c r="I11" t="s">
        <v>170</v>
      </c>
      <c r="J11" t="s">
        <v>5</v>
      </c>
      <c r="K11" t="s">
        <v>171</v>
      </c>
      <c r="L11">
        <v>1354</v>
      </c>
      <c r="N11">
        <v>1010</v>
      </c>
      <c r="O11" t="s">
        <v>82</v>
      </c>
      <c r="P11" t="s">
        <v>82</v>
      </c>
      <c r="Q11">
        <v>1</v>
      </c>
      <c r="X11">
        <v>100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5</v>
      </c>
      <c r="AG11">
        <v>100</v>
      </c>
      <c r="AH11">
        <v>3</v>
      </c>
      <c r="AI11">
        <v>-1</v>
      </c>
      <c r="AJ11" t="s">
        <v>5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ROW(Source!A38)</f>
        <v>38</v>
      </c>
      <c r="B12">
        <v>14333511</v>
      </c>
      <c r="C12">
        <v>14333499</v>
      </c>
      <c r="D12">
        <v>7173801</v>
      </c>
      <c r="E12">
        <v>7157832</v>
      </c>
      <c r="F12">
        <v>1</v>
      </c>
      <c r="G12">
        <v>7157832</v>
      </c>
      <c r="H12">
        <v>3</v>
      </c>
      <c r="I12" t="s">
        <v>170</v>
      </c>
      <c r="J12" t="s">
        <v>5</v>
      </c>
      <c r="K12" t="s">
        <v>172</v>
      </c>
      <c r="L12">
        <v>1354</v>
      </c>
      <c r="N12">
        <v>1010</v>
      </c>
      <c r="O12" t="s">
        <v>82</v>
      </c>
      <c r="P12" t="s">
        <v>82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5</v>
      </c>
      <c r="AG12">
        <v>100</v>
      </c>
      <c r="AH12">
        <v>3</v>
      </c>
      <c r="AI12">
        <v>-1</v>
      </c>
      <c r="AJ12" t="s">
        <v>5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ROW(Source!A42)</f>
        <v>42</v>
      </c>
      <c r="B13">
        <v>14333521</v>
      </c>
      <c r="C13">
        <v>14333515</v>
      </c>
      <c r="D13">
        <v>7157835</v>
      </c>
      <c r="E13">
        <v>7157832</v>
      </c>
      <c r="F13">
        <v>1</v>
      </c>
      <c r="G13">
        <v>7157832</v>
      </c>
      <c r="H13">
        <v>1</v>
      </c>
      <c r="I13" t="s">
        <v>130</v>
      </c>
      <c r="J13" t="s">
        <v>5</v>
      </c>
      <c r="K13" t="s">
        <v>131</v>
      </c>
      <c r="L13">
        <v>1191</v>
      </c>
      <c r="N13">
        <v>1013</v>
      </c>
      <c r="O13" t="s">
        <v>132</v>
      </c>
      <c r="P13" t="s">
        <v>132</v>
      </c>
      <c r="Q13">
        <v>1</v>
      </c>
      <c r="X13">
        <v>3.58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1</v>
      </c>
      <c r="AF13" t="s">
        <v>5</v>
      </c>
      <c r="AG13">
        <v>3.58</v>
      </c>
      <c r="AH13">
        <v>2</v>
      </c>
      <c r="AI13">
        <v>14333516</v>
      </c>
      <c r="AJ13">
        <v>28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ROW(Source!A42)</f>
        <v>42</v>
      </c>
      <c r="B14">
        <v>14333522</v>
      </c>
      <c r="C14">
        <v>14333515</v>
      </c>
      <c r="D14">
        <v>7231371</v>
      </c>
      <c r="E14">
        <v>1</v>
      </c>
      <c r="F14">
        <v>1</v>
      </c>
      <c r="G14">
        <v>7157832</v>
      </c>
      <c r="H14">
        <v>2</v>
      </c>
      <c r="I14" t="s">
        <v>155</v>
      </c>
      <c r="J14" t="s">
        <v>156</v>
      </c>
      <c r="K14" t="s">
        <v>157</v>
      </c>
      <c r="L14">
        <v>1368</v>
      </c>
      <c r="N14">
        <v>1011</v>
      </c>
      <c r="O14" t="s">
        <v>136</v>
      </c>
      <c r="P14" t="s">
        <v>136</v>
      </c>
      <c r="Q14">
        <v>1</v>
      </c>
      <c r="X14">
        <v>1.2</v>
      </c>
      <c r="Y14">
        <v>0</v>
      </c>
      <c r="Z14">
        <v>148.4</v>
      </c>
      <c r="AA14">
        <v>38.619999999999997</v>
      </c>
      <c r="AB14">
        <v>0</v>
      </c>
      <c r="AC14">
        <v>0</v>
      </c>
      <c r="AD14">
        <v>1</v>
      </c>
      <c r="AE14">
        <v>0</v>
      </c>
      <c r="AF14" t="s">
        <v>5</v>
      </c>
      <c r="AG14">
        <v>1.2</v>
      </c>
      <c r="AH14">
        <v>2</v>
      </c>
      <c r="AI14">
        <v>14333517</v>
      </c>
      <c r="AJ14">
        <v>29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ROW(Source!A42)</f>
        <v>42</v>
      </c>
      <c r="B15">
        <v>14333523</v>
      </c>
      <c r="C15">
        <v>14333515</v>
      </c>
      <c r="D15">
        <v>7232995</v>
      </c>
      <c r="E15">
        <v>1</v>
      </c>
      <c r="F15">
        <v>1</v>
      </c>
      <c r="G15">
        <v>7157832</v>
      </c>
      <c r="H15">
        <v>3</v>
      </c>
      <c r="I15" t="s">
        <v>158</v>
      </c>
      <c r="J15" t="s">
        <v>159</v>
      </c>
      <c r="K15" t="s">
        <v>160</v>
      </c>
      <c r="L15">
        <v>1348</v>
      </c>
      <c r="N15">
        <v>1009</v>
      </c>
      <c r="O15" t="s">
        <v>28</v>
      </c>
      <c r="P15" t="s">
        <v>28</v>
      </c>
      <c r="Q15">
        <v>1000</v>
      </c>
      <c r="X15">
        <v>5.3999999999999999E-2</v>
      </c>
      <c r="Y15">
        <v>351.13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5</v>
      </c>
      <c r="AG15">
        <v>5.3999999999999999E-2</v>
      </c>
      <c r="AH15">
        <v>2</v>
      </c>
      <c r="AI15">
        <v>14333518</v>
      </c>
      <c r="AJ15">
        <v>30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ROW(Source!A42)</f>
        <v>42</v>
      </c>
      <c r="B16">
        <v>14333524</v>
      </c>
      <c r="C16">
        <v>14333515</v>
      </c>
      <c r="D16">
        <v>7233176</v>
      </c>
      <c r="E16">
        <v>1</v>
      </c>
      <c r="F16">
        <v>1</v>
      </c>
      <c r="G16">
        <v>7157832</v>
      </c>
      <c r="H16">
        <v>3</v>
      </c>
      <c r="I16" t="s">
        <v>161</v>
      </c>
      <c r="J16" t="s">
        <v>162</v>
      </c>
      <c r="K16" t="s">
        <v>163</v>
      </c>
      <c r="L16">
        <v>1339</v>
      </c>
      <c r="N16">
        <v>1007</v>
      </c>
      <c r="O16" t="s">
        <v>164</v>
      </c>
      <c r="P16" t="s">
        <v>164</v>
      </c>
      <c r="Q16">
        <v>1</v>
      </c>
      <c r="X16">
        <v>0.16</v>
      </c>
      <c r="Y16">
        <v>202.34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5</v>
      </c>
      <c r="AG16">
        <v>0.16</v>
      </c>
      <c r="AH16">
        <v>2</v>
      </c>
      <c r="AI16">
        <v>14333519</v>
      </c>
      <c r="AJ16">
        <v>31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ROW(Source!A42)</f>
        <v>42</v>
      </c>
      <c r="B17">
        <v>14333525</v>
      </c>
      <c r="C17">
        <v>14333515</v>
      </c>
      <c r="D17">
        <v>7232456</v>
      </c>
      <c r="E17">
        <v>1</v>
      </c>
      <c r="F17">
        <v>1</v>
      </c>
      <c r="G17">
        <v>7157832</v>
      </c>
      <c r="H17">
        <v>3</v>
      </c>
      <c r="I17" t="s">
        <v>165</v>
      </c>
      <c r="J17" t="s">
        <v>166</v>
      </c>
      <c r="K17" t="s">
        <v>167</v>
      </c>
      <c r="L17">
        <v>1339</v>
      </c>
      <c r="N17">
        <v>1007</v>
      </c>
      <c r="O17" t="s">
        <v>164</v>
      </c>
      <c r="P17" t="s">
        <v>164</v>
      </c>
      <c r="Q17">
        <v>1</v>
      </c>
      <c r="X17">
        <v>0.1</v>
      </c>
      <c r="Y17">
        <v>104.99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5</v>
      </c>
      <c r="AG17">
        <v>0.1</v>
      </c>
      <c r="AH17">
        <v>2</v>
      </c>
      <c r="AI17">
        <v>14333520</v>
      </c>
      <c r="AJ17">
        <v>32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Акт КС-2 по ТСН-2001</vt:lpstr>
      <vt:lpstr>Смета по ТСН-2001</vt:lpstr>
      <vt:lpstr>Source</vt:lpstr>
      <vt:lpstr>SmtRes</vt:lpstr>
      <vt:lpstr>EtalonRes</vt:lpstr>
      <vt:lpstr>ClcRes</vt:lpstr>
      <vt:lpstr>'Акт КС-2 по ТСН-2001'!Заголовки_для_печати</vt:lpstr>
      <vt:lpstr>'Смета по ТСН-2001'!Заголовки_для_печати</vt:lpstr>
      <vt:lpstr>'Акт КС-2 по ТСН-2001'!Область_печати</vt:lpstr>
      <vt:lpstr>'Смета по ТСН-2001'!Область_печати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GEG</cp:lastModifiedBy>
  <cp:lastPrinted>2012-08-29T05:08:15Z</cp:lastPrinted>
  <dcterms:created xsi:type="dcterms:W3CDTF">2012-06-08T10:17:30Z</dcterms:created>
  <dcterms:modified xsi:type="dcterms:W3CDTF">2012-10-01T12:45:48Z</dcterms:modified>
</cp:coreProperties>
</file>